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10" windowWidth="11475" windowHeight="7740" firstSheet="1" activeTab="4"/>
  </bookViews>
  <sheets>
    <sheet name="年度簡明合併損益表" sheetId="9" state="hidden" r:id="rId1"/>
    <sheet name="季度簡明合併損益表" sheetId="2" r:id="rId2"/>
    <sheet name="簡明年度合併資產負債表 " sheetId="6" state="hidden" r:id="rId3"/>
    <sheet name="簡明合併資產負債表" sheetId="3" r:id="rId4"/>
    <sheet name="簡明現金流量變動表" sheetId="4" r:id="rId5"/>
  </sheets>
  <externalReferences>
    <externalReference r:id="rId6"/>
  </externalReferences>
  <definedNames>
    <definedName name="_xlnm.Print_Area" localSheetId="1">季度簡明合併損益表!$A$1:$AQ$19</definedName>
    <definedName name="_xlnm.Print_Area" localSheetId="3">簡明合併資產負債表!$A$1:$AD$47</definedName>
    <definedName name="_xlnm.Print_Area" localSheetId="2">'簡明年度合併資產負債表 '!$A$1:$E$47</definedName>
    <definedName name="Z_293A8923_ED08_4701_85A2_A97D5F3D44EF_.wvu.Cols" localSheetId="1" hidden="1">季度簡明合併損益表!$N:$Q,季度簡明合併損益表!$T:$AQ</definedName>
    <definedName name="Z_293A8923_ED08_4701_85A2_A97D5F3D44EF_.wvu.Cols" localSheetId="3" hidden="1">簡明合併資產負債表!$N:$Q,簡明合併資產負債表!$S:$AV</definedName>
    <definedName name="Z_293A8923_ED08_4701_85A2_A97D5F3D44EF_.wvu.Cols" localSheetId="2" hidden="1">'簡明年度合併資產負債表 '!#REF!,'簡明年度合併資產負債表 '!#REF!</definedName>
    <definedName name="Z_293A8923_ED08_4701_85A2_A97D5F3D44EF_.wvu.Cols" localSheetId="4" hidden="1">簡明現金流量變動表!$L:$M,簡明現金流量變動表!$P:$AD</definedName>
    <definedName name="Z_293A8923_ED08_4701_85A2_A97D5F3D44EF_.wvu.PrintArea" localSheetId="1" hidden="1">季度簡明合併損益表!$A$1:$AQ$19</definedName>
    <definedName name="Z_293A8923_ED08_4701_85A2_A97D5F3D44EF_.wvu.PrintArea" localSheetId="3" hidden="1">簡明合併資產負債表!$A$1:$AD$47</definedName>
    <definedName name="Z_293A8923_ED08_4701_85A2_A97D5F3D44EF_.wvu.PrintArea" localSheetId="2" hidden="1">'簡明年度合併資產負債表 '!$A$1:$E$47</definedName>
    <definedName name="Z_293A8923_ED08_4701_85A2_A97D5F3D44EF_.wvu.Rows" localSheetId="1" hidden="1">季度簡明合併損益表!$20:$21</definedName>
    <definedName name="Z_293A8923_ED08_4701_85A2_A97D5F3D44EF_.wvu.Rows" localSheetId="3" hidden="1">簡明合併資產負債表!$27:$48</definedName>
    <definedName name="Z_293A8923_ED08_4701_85A2_A97D5F3D44EF_.wvu.Rows" localSheetId="2" hidden="1">'簡明年度合併資產負債表 '!$27:$48</definedName>
    <definedName name="Z_6CC4FA47_4F74_48A0_8033_8683B05A3BC4_.wvu.PrintArea" localSheetId="1" hidden="1">季度簡明合併損益表!$A$1:$AQ$19</definedName>
  </definedNames>
  <calcPr calcId="145621"/>
  <customWorkbookViews>
    <customWorkbookView name="Cynthia Lee - 個人檢視畫面" guid="{6CC4FA47-4F74-48A0-8033-8683B05A3BC4}" mergeInterval="0" personalView="1" maximized="1" xWindow="50" yWindow="53" windowWidth="966" windowHeight="472" activeSheetId="2" showComments="commIndAndComment"/>
    <customWorkbookView name="黃惠嫆 - 個人檢視畫面" guid="{293A8923-ED08-4701-85A2-A97D5F3D44EF}" mergeInterval="0" personalView="1" maximized="1" windowWidth="1916" windowHeight="742" activeSheetId="4"/>
  </customWorkbookViews>
</workbook>
</file>

<file path=xl/calcChain.xml><?xml version="1.0" encoding="utf-8"?>
<calcChain xmlns="http://schemas.openxmlformats.org/spreadsheetml/2006/main">
  <c r="AS14" i="2" l="1"/>
  <c r="AT4" i="2"/>
  <c r="AT12" i="2" l="1"/>
  <c r="AT13" i="2"/>
  <c r="AT14" i="2"/>
  <c r="AT15" i="2"/>
  <c r="AT11" i="2"/>
  <c r="AT10" i="2"/>
  <c r="AT9" i="2"/>
  <c r="AT8" i="2"/>
  <c r="AT7" i="2"/>
  <c r="AT5" i="2"/>
  <c r="AS15" i="2"/>
  <c r="AS13" i="2"/>
  <c r="AS11" i="2"/>
  <c r="AS10" i="2"/>
  <c r="AS9" i="2"/>
  <c r="AS8" i="2"/>
  <c r="AS7" i="2"/>
  <c r="AS4" i="2"/>
  <c r="AS5" i="2"/>
  <c r="AT3" i="2"/>
  <c r="AS3" i="2"/>
  <c r="C58" i="4" l="1"/>
  <c r="C60" i="4"/>
  <c r="C51" i="4"/>
  <c r="C50" i="4"/>
  <c r="C54" i="4" s="1"/>
  <c r="B30" i="3" l="1"/>
  <c r="B37" i="3" s="1"/>
  <c r="B16" i="3"/>
  <c r="B15" i="3"/>
  <c r="B12" i="3"/>
  <c r="B10" i="3"/>
  <c r="B7" i="3"/>
  <c r="B4" i="3"/>
  <c r="B25" i="3" s="1"/>
  <c r="B45" i="3"/>
  <c r="B44" i="3"/>
  <c r="B18" i="3"/>
  <c r="B12" i="2"/>
  <c r="B10" i="2"/>
  <c r="B5" i="2"/>
  <c r="B39" i="3" l="1"/>
  <c r="B24" i="3" s="1"/>
  <c r="B38" i="3"/>
  <c r="B31" i="3"/>
  <c r="B46" i="3"/>
  <c r="B47" i="3" s="1"/>
  <c r="B32" i="3"/>
  <c r="B23" i="3" s="1"/>
  <c r="B8" i="3"/>
  <c r="B11" i="2"/>
  <c r="C5" i="2"/>
  <c r="B41" i="3" l="1"/>
  <c r="B13" i="3"/>
  <c r="C11" i="2"/>
  <c r="B13" i="2"/>
  <c r="B15" i="2" s="1"/>
  <c r="D34" i="6" l="1"/>
  <c r="D27" i="6"/>
  <c r="B20" i="9"/>
  <c r="B15" i="9"/>
  <c r="B17" i="9" s="1"/>
  <c r="J17" i="9" s="1"/>
  <c r="B16" i="9"/>
  <c r="J16" i="9" s="1"/>
  <c r="B14" i="9"/>
  <c r="B12" i="9"/>
  <c r="J12" i="9" s="1"/>
  <c r="B10" i="9"/>
  <c r="J10" i="9" s="1"/>
  <c r="B11" i="9"/>
  <c r="J11" i="9" s="1"/>
  <c r="B9" i="9"/>
  <c r="J9" i="9" s="1"/>
  <c r="B6" i="9"/>
  <c r="B34" i="6" s="1"/>
  <c r="B5" i="9"/>
  <c r="B7" i="9" s="1"/>
  <c r="H20" i="9"/>
  <c r="F20" i="9"/>
  <c r="D20" i="9"/>
  <c r="H17" i="9"/>
  <c r="F17" i="9"/>
  <c r="D17" i="9"/>
  <c r="H16" i="9"/>
  <c r="F16" i="9"/>
  <c r="D16" i="9"/>
  <c r="H15" i="9"/>
  <c r="F15" i="9"/>
  <c r="D15" i="9"/>
  <c r="H14" i="9"/>
  <c r="F14" i="9"/>
  <c r="D14" i="9"/>
  <c r="H13" i="9"/>
  <c r="I13" i="9" s="1"/>
  <c r="F13" i="9"/>
  <c r="D13" i="9"/>
  <c r="E13" i="9" s="1"/>
  <c r="H12" i="9"/>
  <c r="F12" i="9"/>
  <c r="D12" i="9"/>
  <c r="H11" i="9"/>
  <c r="F11" i="9"/>
  <c r="D11" i="9"/>
  <c r="H10" i="9"/>
  <c r="F10" i="9"/>
  <c r="D10" i="9"/>
  <c r="H9" i="9"/>
  <c r="F9" i="9"/>
  <c r="D9" i="9"/>
  <c r="H8" i="9"/>
  <c r="H7" i="9"/>
  <c r="I7" i="9" s="1"/>
  <c r="F7" i="9"/>
  <c r="D7" i="9"/>
  <c r="H6" i="9"/>
  <c r="F6" i="9"/>
  <c r="D6" i="9"/>
  <c r="H5" i="9"/>
  <c r="I5" i="9" s="1"/>
  <c r="F5" i="9"/>
  <c r="G5" i="9" s="1"/>
  <c r="D5" i="9"/>
  <c r="E5" i="9" s="1"/>
  <c r="J7" i="9" l="1"/>
  <c r="B13" i="9"/>
  <c r="C7" i="9"/>
  <c r="B27" i="6"/>
  <c r="C5" i="9"/>
  <c r="J5" i="9"/>
  <c r="J15" i="9"/>
  <c r="J6" i="9"/>
  <c r="G7" i="9"/>
  <c r="E7" i="9"/>
  <c r="G13" i="9"/>
  <c r="C13" i="9" l="1"/>
  <c r="J13" i="9"/>
  <c r="D39" i="6"/>
  <c r="D24" i="6" s="1"/>
  <c r="D38" i="6"/>
  <c r="B39" i="6"/>
  <c r="B38" i="6"/>
  <c r="D32" i="6"/>
  <c r="D23" i="6" s="1"/>
  <c r="D31" i="6"/>
  <c r="F46" i="6"/>
  <c r="F45" i="6"/>
  <c r="F44" i="6"/>
  <c r="F31" i="6"/>
  <c r="F32" i="6"/>
  <c r="F18" i="6"/>
  <c r="F16" i="6"/>
  <c r="F12" i="6"/>
  <c r="F11" i="6"/>
  <c r="F9" i="6"/>
  <c r="F7" i="6"/>
  <c r="F4" i="6"/>
  <c r="F8" i="6" s="1"/>
  <c r="F47" i="6" l="1"/>
  <c r="F41" i="6"/>
  <c r="F13" i="6"/>
  <c r="F37" i="6"/>
  <c r="F38" i="6" l="1"/>
  <c r="F39" i="6"/>
  <c r="B32" i="6" l="1"/>
  <c r="B31" i="6"/>
  <c r="D45" i="6" l="1"/>
  <c r="B45" i="6"/>
  <c r="D44" i="6"/>
  <c r="B44" i="6"/>
  <c r="B23" i="6"/>
  <c r="D46" i="6"/>
  <c r="B46" i="6"/>
  <c r="D16" i="6"/>
  <c r="D18" i="6" s="1"/>
  <c r="B16" i="6"/>
  <c r="B18" i="6" s="1"/>
  <c r="D12" i="6"/>
  <c r="B12" i="6"/>
  <c r="D11" i="6"/>
  <c r="D10" i="6"/>
  <c r="B10" i="6"/>
  <c r="D9" i="6"/>
  <c r="D7" i="6"/>
  <c r="B7" i="6"/>
  <c r="B5" i="6"/>
  <c r="D4" i="6"/>
  <c r="B4" i="6"/>
  <c r="B47" i="6" l="1"/>
  <c r="D47" i="6"/>
  <c r="B25" i="6"/>
  <c r="B8" i="6"/>
  <c r="D8" i="6"/>
  <c r="B24" i="6" l="1"/>
  <c r="D13" i="6"/>
  <c r="D41" i="6"/>
  <c r="B13" i="6"/>
  <c r="B41" i="6"/>
  <c r="E56" i="4"/>
  <c r="D56" i="4" s="1"/>
  <c r="E45" i="4"/>
  <c r="E43" i="4"/>
  <c r="D43" i="4" s="1"/>
  <c r="E42" i="4"/>
  <c r="D42" i="4" s="1"/>
  <c r="E41" i="4"/>
  <c r="D41" i="4" s="1"/>
  <c r="E40" i="4"/>
  <c r="D40" i="4" s="1"/>
  <c r="E34" i="4"/>
  <c r="D34" i="4" s="1"/>
  <c r="E32" i="4"/>
  <c r="D32" i="4" s="1"/>
  <c r="E27" i="4"/>
  <c r="D27" i="4" s="1"/>
  <c r="E26" i="4"/>
  <c r="D26" i="4" s="1"/>
  <c r="E24" i="4"/>
  <c r="D24" i="4" s="1"/>
  <c r="E20" i="4"/>
  <c r="E17" i="4"/>
  <c r="E15" i="4"/>
  <c r="D15" i="4" s="1"/>
  <c r="E13" i="4"/>
  <c r="D13" i="4" s="1"/>
  <c r="E11" i="4"/>
  <c r="D11" i="4" s="1"/>
  <c r="E10" i="4"/>
  <c r="D10" i="4" s="1"/>
  <c r="E9" i="4"/>
  <c r="D9" i="4"/>
  <c r="E7" i="4"/>
  <c r="D7" i="4" s="1"/>
  <c r="E6" i="4"/>
  <c r="D6" i="4" s="1"/>
  <c r="E4" i="4"/>
  <c r="D4" i="4" s="1"/>
  <c r="D53" i="4"/>
  <c r="D52" i="4"/>
  <c r="D51" i="4"/>
  <c r="D50" i="4"/>
  <c r="D54" i="4" s="1"/>
  <c r="D46" i="4"/>
  <c r="C46" i="4" s="1"/>
  <c r="D45" i="4"/>
  <c r="D44" i="4"/>
  <c r="C44" i="4" s="1"/>
  <c r="D39" i="4"/>
  <c r="C39" i="4" s="1"/>
  <c r="D38" i="4"/>
  <c r="C38" i="4" s="1"/>
  <c r="D36" i="4"/>
  <c r="C36" i="4" s="1"/>
  <c r="D35" i="4"/>
  <c r="C35" i="4" s="1"/>
  <c r="C47" i="4" s="1"/>
  <c r="D33" i="4"/>
  <c r="D31" i="4"/>
  <c r="D25" i="4"/>
  <c r="D22" i="4"/>
  <c r="D21" i="4"/>
  <c r="C21" i="4" s="1"/>
  <c r="D20" i="4"/>
  <c r="D19" i="4"/>
  <c r="D18" i="4"/>
  <c r="D17" i="4"/>
  <c r="D16" i="4"/>
  <c r="C16" i="4" s="1"/>
  <c r="D14" i="4"/>
  <c r="C14" i="4" s="1"/>
  <c r="C23" i="4" s="1"/>
  <c r="C28" i="4" s="1"/>
  <c r="D12" i="4"/>
  <c r="D8" i="4"/>
  <c r="D47" i="4" l="1"/>
  <c r="D23" i="4"/>
  <c r="D28" i="4" s="1"/>
  <c r="D58" i="4" l="1"/>
  <c r="E54" i="4" l="1"/>
  <c r="E47" i="4"/>
  <c r="E23" i="4"/>
  <c r="E28" i="4" s="1"/>
  <c r="D16" i="3"/>
  <c r="D18" i="3" s="1"/>
  <c r="D12" i="3"/>
  <c r="D10" i="3"/>
  <c r="D7" i="3"/>
  <c r="D5" i="3"/>
  <c r="D4" i="3"/>
  <c r="D45" i="3"/>
  <c r="D44" i="3"/>
  <c r="D37" i="3"/>
  <c r="D39" i="3" s="1"/>
  <c r="D24" i="3" s="1"/>
  <c r="D30" i="3"/>
  <c r="D32" i="3" s="1"/>
  <c r="D23" i="3" s="1"/>
  <c r="D8" i="3"/>
  <c r="D18" i="2"/>
  <c r="D14" i="2"/>
  <c r="D12" i="2"/>
  <c r="D9" i="2"/>
  <c r="D8" i="2"/>
  <c r="D7" i="2"/>
  <c r="D10" i="2" s="1"/>
  <c r="D4" i="2"/>
  <c r="D3" i="2"/>
  <c r="E58" i="4" l="1"/>
  <c r="D41" i="3"/>
  <c r="D13" i="3"/>
  <c r="D25" i="3"/>
  <c r="D38" i="3"/>
  <c r="D31" i="3"/>
  <c r="D46" i="3"/>
  <c r="D47" i="3" s="1"/>
  <c r="D5" i="2"/>
  <c r="D11" i="2" s="1"/>
  <c r="D13" i="2" s="1"/>
  <c r="D15" i="2" s="1"/>
  <c r="E11" i="2"/>
  <c r="E5" i="2"/>
  <c r="F56" i="4"/>
  <c r="F27" i="4"/>
  <c r="F43" i="4" l="1"/>
  <c r="F42" i="4"/>
  <c r="F41" i="4"/>
  <c r="F40" i="4"/>
  <c r="F34" i="4"/>
  <c r="F32" i="4"/>
  <c r="F26" i="4"/>
  <c r="F24" i="4"/>
  <c r="F20" i="4"/>
  <c r="F18" i="4"/>
  <c r="F17" i="4"/>
  <c r="F15" i="4"/>
  <c r="F13" i="4"/>
  <c r="F11" i="4"/>
  <c r="F10" i="4"/>
  <c r="F9" i="4"/>
  <c r="F8" i="4"/>
  <c r="F7" i="4"/>
  <c r="F6" i="4"/>
  <c r="F4" i="4"/>
  <c r="F54" i="4"/>
  <c r="F30" i="3"/>
  <c r="F32" i="3" s="1"/>
  <c r="F23" i="3" s="1"/>
  <c r="F16" i="3"/>
  <c r="F15" i="3"/>
  <c r="F45" i="3" s="1"/>
  <c r="F12" i="3"/>
  <c r="F11" i="3"/>
  <c r="F10" i="3"/>
  <c r="F7" i="3"/>
  <c r="F25" i="3" s="1"/>
  <c r="F4" i="3"/>
  <c r="F44" i="3"/>
  <c r="F37" i="3"/>
  <c r="F39" i="3" s="1"/>
  <c r="F24" i="3" s="1"/>
  <c r="F18" i="3"/>
  <c r="F8" i="3"/>
  <c r="F47" i="4" l="1"/>
  <c r="F23" i="4"/>
  <c r="F28" i="4" s="1"/>
  <c r="F41" i="3"/>
  <c r="F13" i="3"/>
  <c r="F38" i="3"/>
  <c r="F31" i="3"/>
  <c r="F46" i="3"/>
  <c r="F47" i="3" s="1"/>
  <c r="F58" i="4" l="1"/>
  <c r="F12" i="2"/>
  <c r="F10" i="2"/>
  <c r="F5" i="2"/>
  <c r="G5" i="2" s="1"/>
  <c r="F11" i="2" l="1"/>
  <c r="F13" i="2" s="1"/>
  <c r="F15" i="2" s="1"/>
  <c r="G56" i="4"/>
  <c r="G11" i="2" l="1"/>
  <c r="G43" i="4"/>
  <c r="G42" i="4"/>
  <c r="G40" i="4"/>
  <c r="G34" i="4"/>
  <c r="G32" i="4"/>
  <c r="G27" i="4"/>
  <c r="G26" i="4"/>
  <c r="G24" i="4"/>
  <c r="G20" i="4"/>
  <c r="G18" i="4"/>
  <c r="G15" i="4"/>
  <c r="G13" i="4"/>
  <c r="G11" i="4"/>
  <c r="G10" i="4"/>
  <c r="G9" i="4"/>
  <c r="G8" i="4"/>
  <c r="G23" i="4" s="1"/>
  <c r="G28" i="4" s="1"/>
  <c r="G7" i="4"/>
  <c r="G6" i="4"/>
  <c r="G4" i="4"/>
  <c r="G54" i="4"/>
  <c r="G47" i="4"/>
  <c r="H32" i="3"/>
  <c r="H31" i="3"/>
  <c r="H30" i="3"/>
  <c r="H37" i="3" s="1"/>
  <c r="H39" i="3" s="1"/>
  <c r="H24" i="3" s="1"/>
  <c r="H16" i="3"/>
  <c r="H15" i="3"/>
  <c r="H45" i="3" s="1"/>
  <c r="H12" i="3"/>
  <c r="H11" i="3"/>
  <c r="H10" i="3"/>
  <c r="H9" i="3"/>
  <c r="H7" i="3"/>
  <c r="H4" i="3"/>
  <c r="H44" i="3"/>
  <c r="H18" i="3"/>
  <c r="H8" i="3"/>
  <c r="H10" i="2"/>
  <c r="H5" i="2"/>
  <c r="G58" i="4" l="1"/>
  <c r="H23" i="3"/>
  <c r="H46" i="3"/>
  <c r="H47" i="3" s="1"/>
  <c r="H41" i="3"/>
  <c r="H13" i="3"/>
  <c r="H25" i="3"/>
  <c r="H38" i="3"/>
  <c r="H11" i="2"/>
  <c r="H13" i="2"/>
  <c r="H15" i="2" s="1"/>
  <c r="I11" i="2"/>
  <c r="I5" i="2"/>
  <c r="J41" i="3"/>
  <c r="J16" i="3"/>
  <c r="J12" i="3"/>
  <c r="J9" i="3"/>
  <c r="J7" i="3"/>
  <c r="J4" i="3"/>
  <c r="H4" i="4" l="1"/>
  <c r="H23" i="4" s="1"/>
  <c r="H28" i="4" s="1"/>
  <c r="H54" i="4"/>
  <c r="H47" i="4"/>
  <c r="H58" i="4" l="1"/>
  <c r="J32" i="3"/>
  <c r="J31" i="3"/>
  <c r="J30" i="3"/>
  <c r="J37" i="3" s="1"/>
  <c r="J38" i="3" s="1"/>
  <c r="J11" i="3"/>
  <c r="J10" i="3"/>
  <c r="J8" i="3"/>
  <c r="J25" i="3"/>
  <c r="J45" i="3"/>
  <c r="J44" i="3"/>
  <c r="J18" i="3"/>
  <c r="J10" i="2"/>
  <c r="J5" i="2"/>
  <c r="K5" i="2" s="1"/>
  <c r="J39" i="3" l="1"/>
  <c r="J24" i="3" s="1"/>
  <c r="J13" i="3"/>
  <c r="J46" i="3"/>
  <c r="J47" i="3" s="1"/>
  <c r="J23" i="3"/>
  <c r="J11" i="2"/>
  <c r="K11" i="2"/>
  <c r="J13" i="2" l="1"/>
  <c r="J15" i="2" s="1"/>
  <c r="J52" i="4" l="1"/>
  <c r="I52" i="4" s="1"/>
  <c r="J53" i="4"/>
  <c r="I53" i="4" s="1"/>
  <c r="J51" i="4"/>
  <c r="I51" i="4" s="1"/>
  <c r="J50" i="4"/>
  <c r="I50" i="4" s="1"/>
  <c r="J46" i="4"/>
  <c r="J39" i="4"/>
  <c r="I39" i="4" s="1"/>
  <c r="J38" i="4"/>
  <c r="I38" i="4" s="1"/>
  <c r="J36" i="4"/>
  <c r="J35" i="4"/>
  <c r="I35" i="4" s="1"/>
  <c r="J33" i="4"/>
  <c r="I33" i="4" s="1"/>
  <c r="I36" i="4"/>
  <c r="I46" i="4"/>
  <c r="J25" i="4"/>
  <c r="I25" i="4"/>
  <c r="J21" i="4"/>
  <c r="I21" i="4" s="1"/>
  <c r="J19" i="4"/>
  <c r="I19" i="4" s="1"/>
  <c r="J18" i="4"/>
  <c r="I18" i="4" s="1"/>
  <c r="J16" i="4"/>
  <c r="I16" i="4" s="1"/>
  <c r="J14" i="4"/>
  <c r="J12" i="4"/>
  <c r="I8" i="4"/>
  <c r="I12" i="4"/>
  <c r="I14" i="4"/>
  <c r="I22" i="4"/>
  <c r="L16" i="3"/>
  <c r="L10" i="3"/>
  <c r="L12" i="3"/>
  <c r="L11" i="3"/>
  <c r="L9" i="3"/>
  <c r="L7" i="3"/>
  <c r="L4" i="3"/>
  <c r="I54" i="4" l="1"/>
  <c r="J54" i="4"/>
  <c r="L46" i="3"/>
  <c r="L47" i="3" s="1"/>
  <c r="L45" i="3"/>
  <c r="L44" i="3"/>
  <c r="L32" i="3"/>
  <c r="L23" i="3" s="1"/>
  <c r="L31" i="3"/>
  <c r="L30" i="3"/>
  <c r="L37" i="3" s="1"/>
  <c r="L18" i="3"/>
  <c r="L8" i="3"/>
  <c r="L41" i="3" s="1"/>
  <c r="L25" i="3"/>
  <c r="L39" i="3" l="1"/>
  <c r="L24" i="3" s="1"/>
  <c r="L38" i="3"/>
  <c r="L13" i="3"/>
  <c r="L10" i="2"/>
  <c r="L5" i="2"/>
  <c r="L11" i="2" l="1"/>
  <c r="M5" i="2"/>
  <c r="M11" i="2" l="1"/>
  <c r="L13" i="2"/>
  <c r="L15" i="2" s="1"/>
  <c r="K54" i="4"/>
  <c r="K45" i="4"/>
  <c r="K44" i="4"/>
  <c r="J44" i="4" s="1"/>
  <c r="I44" i="4" s="1"/>
  <c r="K43" i="4"/>
  <c r="K42" i="4"/>
  <c r="K41" i="4"/>
  <c r="K40" i="4"/>
  <c r="K34" i="4"/>
  <c r="K32" i="4"/>
  <c r="K31" i="4"/>
  <c r="K26" i="4"/>
  <c r="K24" i="4"/>
  <c r="K20" i="4"/>
  <c r="K17" i="4"/>
  <c r="K15" i="4"/>
  <c r="K13" i="4"/>
  <c r="K11" i="4"/>
  <c r="K10" i="4"/>
  <c r="K9" i="4"/>
  <c r="K7" i="4"/>
  <c r="K6" i="4"/>
  <c r="N35" i="3"/>
  <c r="K47" i="4" l="1"/>
  <c r="K23" i="4"/>
  <c r="K28" i="4" s="1"/>
  <c r="N30" i="3"/>
  <c r="N46" i="3" s="1"/>
  <c r="N16" i="3"/>
  <c r="N18" i="3" s="1"/>
  <c r="N12" i="3"/>
  <c r="N11" i="3"/>
  <c r="N10" i="3"/>
  <c r="N9" i="3"/>
  <c r="N7" i="3"/>
  <c r="N4" i="3"/>
  <c r="N45" i="3"/>
  <c r="N44" i="3"/>
  <c r="K58" i="4" l="1"/>
  <c r="N47" i="3"/>
  <c r="N25" i="3"/>
  <c r="N8" i="3"/>
  <c r="N13" i="3" s="1"/>
  <c r="N31" i="3"/>
  <c r="N32" i="3"/>
  <c r="N23" i="3" s="1"/>
  <c r="N37" i="3"/>
  <c r="N41" i="3" l="1"/>
  <c r="N38" i="3"/>
  <c r="N39" i="3"/>
  <c r="N24" i="3" s="1"/>
  <c r="N13" i="2" l="1"/>
  <c r="N12" i="2"/>
  <c r="O11" i="2"/>
  <c r="N9" i="2"/>
  <c r="N8" i="2"/>
  <c r="N10" i="2" s="1"/>
  <c r="N7" i="2"/>
  <c r="N15" i="2"/>
  <c r="N5" i="2"/>
  <c r="O5" i="2" s="1"/>
  <c r="N11" i="2" l="1"/>
  <c r="L56" i="4"/>
  <c r="J56" i="4" s="1"/>
  <c r="I56" i="4" s="1"/>
  <c r="L45" i="4"/>
  <c r="J45" i="4" s="1"/>
  <c r="I45" i="4" s="1"/>
  <c r="L43" i="4"/>
  <c r="J43" i="4" s="1"/>
  <c r="I43" i="4" s="1"/>
  <c r="L42" i="4"/>
  <c r="J42" i="4" s="1"/>
  <c r="I42" i="4" s="1"/>
  <c r="L41" i="4"/>
  <c r="J41" i="4" s="1"/>
  <c r="I41" i="4" s="1"/>
  <c r="L40" i="4"/>
  <c r="J40" i="4" s="1"/>
  <c r="I40" i="4" s="1"/>
  <c r="L34" i="4"/>
  <c r="J34" i="4" s="1"/>
  <c r="I34" i="4" s="1"/>
  <c r="L32" i="4"/>
  <c r="J32" i="4" s="1"/>
  <c r="I32" i="4" s="1"/>
  <c r="L31" i="4"/>
  <c r="J31" i="4" s="1"/>
  <c r="L27" i="4"/>
  <c r="J27" i="4" s="1"/>
  <c r="I27" i="4" s="1"/>
  <c r="L26" i="4"/>
  <c r="J26" i="4" s="1"/>
  <c r="I26" i="4" s="1"/>
  <c r="L24" i="4"/>
  <c r="J24" i="4" s="1"/>
  <c r="I24" i="4" s="1"/>
  <c r="L20" i="4"/>
  <c r="J20" i="4" s="1"/>
  <c r="I20" i="4" s="1"/>
  <c r="L17" i="4"/>
  <c r="J17" i="4" s="1"/>
  <c r="I17" i="4" s="1"/>
  <c r="L15" i="4"/>
  <c r="J15" i="4" s="1"/>
  <c r="I15" i="4" s="1"/>
  <c r="L13" i="4"/>
  <c r="J13" i="4" s="1"/>
  <c r="I13" i="4" s="1"/>
  <c r="L11" i="4"/>
  <c r="J11" i="4" s="1"/>
  <c r="I11" i="4" s="1"/>
  <c r="L10" i="4"/>
  <c r="J10" i="4" s="1"/>
  <c r="I10" i="4" s="1"/>
  <c r="L9" i="4"/>
  <c r="L7" i="4"/>
  <c r="J7" i="4" s="1"/>
  <c r="I7" i="4" s="1"/>
  <c r="L6" i="4"/>
  <c r="J6" i="4" s="1"/>
  <c r="I6" i="4" s="1"/>
  <c r="L4" i="4"/>
  <c r="J4" i="4" s="1"/>
  <c r="P30" i="3"/>
  <c r="O4" i="4"/>
  <c r="P4" i="4"/>
  <c r="Q4" i="4"/>
  <c r="Q23" i="4" s="1"/>
  <c r="Q28" i="4" s="1"/>
  <c r="S4" i="4"/>
  <c r="T4" i="4" s="1"/>
  <c r="Y4" i="4"/>
  <c r="O6" i="4"/>
  <c r="P6" i="4"/>
  <c r="Q6" i="4"/>
  <c r="T6" i="4"/>
  <c r="Y6" i="4"/>
  <c r="O7" i="4"/>
  <c r="P7" i="4"/>
  <c r="Q7" i="4"/>
  <c r="T7" i="4"/>
  <c r="Y7" i="4"/>
  <c r="O8" i="4"/>
  <c r="P8" i="4"/>
  <c r="Q8" i="4"/>
  <c r="M9" i="4"/>
  <c r="M23" i="4" s="1"/>
  <c r="M28" i="4" s="1"/>
  <c r="M58" i="4" s="1"/>
  <c r="O9" i="4"/>
  <c r="P9" i="4"/>
  <c r="Q9" i="4"/>
  <c r="R9" i="4"/>
  <c r="T9" i="4"/>
  <c r="Y9" i="4"/>
  <c r="O10" i="4"/>
  <c r="P10" i="4"/>
  <c r="Q10" i="4"/>
  <c r="T10" i="4"/>
  <c r="Y10" i="4"/>
  <c r="O11" i="4"/>
  <c r="P11" i="4"/>
  <c r="Q11" i="4"/>
  <c r="T11" i="4"/>
  <c r="Y11" i="4"/>
  <c r="O12" i="4"/>
  <c r="T12" i="4"/>
  <c r="Y12" i="4"/>
  <c r="O13" i="4"/>
  <c r="P13" i="4"/>
  <c r="Q13" i="4"/>
  <c r="T13" i="4"/>
  <c r="Y13" i="4"/>
  <c r="T14" i="4"/>
  <c r="Y14" i="4"/>
  <c r="O15" i="4"/>
  <c r="P15" i="4"/>
  <c r="Q15" i="4"/>
  <c r="S15" i="4"/>
  <c r="T15" i="4"/>
  <c r="Y15" i="4"/>
  <c r="Y16" i="4"/>
  <c r="O17" i="4"/>
  <c r="T17" i="4"/>
  <c r="Y17" i="4"/>
  <c r="O18" i="4"/>
  <c r="O20" i="4"/>
  <c r="P20" i="4"/>
  <c r="P23" i="4" s="1"/>
  <c r="P28" i="4" s="1"/>
  <c r="P58" i="4" s="1"/>
  <c r="Q20" i="4"/>
  <c r="T20" i="4"/>
  <c r="Y20" i="4"/>
  <c r="Y21" i="4"/>
  <c r="P22" i="4"/>
  <c r="Q22" i="4"/>
  <c r="Y22" i="4"/>
  <c r="L23" i="4"/>
  <c r="L28" i="4" s="1"/>
  <c r="L58" i="4" s="1"/>
  <c r="N23" i="4"/>
  <c r="N28" i="4" s="1"/>
  <c r="N58" i="4" s="1"/>
  <c r="O23" i="4"/>
  <c r="O28" i="4" s="1"/>
  <c r="R23" i="4"/>
  <c r="R28" i="4" s="1"/>
  <c r="R58" i="4" s="1"/>
  <c r="S23" i="4"/>
  <c r="S28" i="4" s="1"/>
  <c r="U23" i="4"/>
  <c r="V23" i="4"/>
  <c r="W23" i="4"/>
  <c r="W28" i="4" s="1"/>
  <c r="W58" i="4" s="1"/>
  <c r="W62" i="4" s="1"/>
  <c r="X23" i="4"/>
  <c r="X28" i="4" s="1"/>
  <c r="X58" i="4" s="1"/>
  <c r="Z23" i="4"/>
  <c r="AA23" i="4"/>
  <c r="AB23" i="4"/>
  <c r="O24" i="4"/>
  <c r="P24" i="4"/>
  <c r="Q24" i="4"/>
  <c r="S24" i="4"/>
  <c r="T24" i="4"/>
  <c r="X24" i="4"/>
  <c r="Y24" i="4" s="1"/>
  <c r="O26" i="4"/>
  <c r="P26" i="4"/>
  <c r="Q26" i="4"/>
  <c r="T26" i="4"/>
  <c r="Y26" i="4"/>
  <c r="O27" i="4"/>
  <c r="P27" i="4"/>
  <c r="Q27" i="4"/>
  <c r="T27" i="4"/>
  <c r="Y27" i="4"/>
  <c r="V28" i="4"/>
  <c r="AA28" i="4"/>
  <c r="AA58" i="4" s="1"/>
  <c r="AA62" i="4" s="1"/>
  <c r="AB28" i="4"/>
  <c r="O31" i="4"/>
  <c r="P31" i="4"/>
  <c r="Q31" i="4"/>
  <c r="Q47" i="4" s="1"/>
  <c r="T31" i="4"/>
  <c r="Y31" i="4"/>
  <c r="O32" i="4"/>
  <c r="T32" i="4"/>
  <c r="Y32" i="4"/>
  <c r="P33" i="4"/>
  <c r="Q33" i="4"/>
  <c r="T33" i="4"/>
  <c r="Y33" i="4"/>
  <c r="T35" i="4"/>
  <c r="Y35" i="4"/>
  <c r="T38" i="4"/>
  <c r="Y38" i="4"/>
  <c r="T39" i="4"/>
  <c r="Y39" i="4"/>
  <c r="O40" i="4"/>
  <c r="O47" i="4" s="1"/>
  <c r="P40" i="4"/>
  <c r="Q40" i="4"/>
  <c r="T40" i="4"/>
  <c r="Y40" i="4"/>
  <c r="O41" i="4"/>
  <c r="P41" i="4"/>
  <c r="Q41" i="4"/>
  <c r="S41" i="4"/>
  <c r="S47" i="4" s="1"/>
  <c r="T47" i="4" s="1"/>
  <c r="Y41" i="4"/>
  <c r="O42" i="4"/>
  <c r="P42" i="4"/>
  <c r="Q42" i="4"/>
  <c r="T42" i="4"/>
  <c r="Y42" i="4"/>
  <c r="O43" i="4"/>
  <c r="P43" i="4"/>
  <c r="Q43" i="4"/>
  <c r="T43" i="4"/>
  <c r="Y43" i="4"/>
  <c r="O45" i="4"/>
  <c r="P45" i="4"/>
  <c r="Q45" i="4"/>
  <c r="T45" i="4"/>
  <c r="Y45" i="4"/>
  <c r="T46" i="4"/>
  <c r="Y46" i="4"/>
  <c r="L47" i="4"/>
  <c r="M47" i="4"/>
  <c r="N47" i="4"/>
  <c r="P47" i="4"/>
  <c r="R47" i="4"/>
  <c r="U47" i="4"/>
  <c r="V47" i="4"/>
  <c r="W47" i="4"/>
  <c r="X47" i="4"/>
  <c r="Z47" i="4"/>
  <c r="AA47" i="4"/>
  <c r="AB47" i="4"/>
  <c r="T50" i="4"/>
  <c r="Y50" i="4"/>
  <c r="O51" i="4"/>
  <c r="T51" i="4"/>
  <c r="Y51" i="4"/>
  <c r="Y54" i="4" s="1"/>
  <c r="L54" i="4"/>
  <c r="M54" i="4"/>
  <c r="N54" i="4"/>
  <c r="O54" i="4"/>
  <c r="P54" i="4"/>
  <c r="Q54" i="4"/>
  <c r="R54" i="4"/>
  <c r="S54" i="4"/>
  <c r="T54" i="4" s="1"/>
  <c r="V54" i="4"/>
  <c r="W54" i="4"/>
  <c r="X54" i="4"/>
  <c r="Z54" i="4"/>
  <c r="AA54" i="4"/>
  <c r="AB54" i="4"/>
  <c r="AB58" i="4" s="1"/>
  <c r="AB62" i="4" s="1"/>
  <c r="P56" i="4"/>
  <c r="Q56" i="4"/>
  <c r="T56" i="4"/>
  <c r="Y56" i="4"/>
  <c r="U58" i="4"/>
  <c r="U62" i="4" s="1"/>
  <c r="T60" i="4" s="1"/>
  <c r="V58" i="4"/>
  <c r="Z58" i="4"/>
  <c r="S60" i="4"/>
  <c r="X60" i="4"/>
  <c r="Y60" i="4"/>
  <c r="V62" i="4"/>
  <c r="U60" i="4" s="1"/>
  <c r="P4" i="3"/>
  <c r="R4" i="3"/>
  <c r="T4" i="3"/>
  <c r="V4" i="3"/>
  <c r="X4" i="3"/>
  <c r="Z4" i="3"/>
  <c r="AB4" i="3"/>
  <c r="AD4" i="3"/>
  <c r="AF4" i="3"/>
  <c r="AL4" i="3"/>
  <c r="AN4" i="3"/>
  <c r="AP4" i="3"/>
  <c r="AB5" i="3"/>
  <c r="P7" i="3"/>
  <c r="R7" i="3"/>
  <c r="T7" i="3"/>
  <c r="V7" i="3"/>
  <c r="X7" i="3"/>
  <c r="Z7" i="3"/>
  <c r="AB7" i="3"/>
  <c r="AD7" i="3"/>
  <c r="AF7" i="3"/>
  <c r="AL7" i="3"/>
  <c r="AN7" i="3"/>
  <c r="P8" i="3"/>
  <c r="R8" i="3"/>
  <c r="T8" i="3"/>
  <c r="V8" i="3"/>
  <c r="X8" i="3"/>
  <c r="Z8" i="3"/>
  <c r="AB8" i="3"/>
  <c r="AD8" i="3"/>
  <c r="AF8" i="3"/>
  <c r="AL8" i="3"/>
  <c r="AN8" i="3"/>
  <c r="P9" i="3"/>
  <c r="R9" i="3"/>
  <c r="T9" i="3"/>
  <c r="V9" i="3"/>
  <c r="X9" i="3"/>
  <c r="Z9" i="3"/>
  <c r="AD9" i="3"/>
  <c r="AF9" i="3"/>
  <c r="AL9" i="3"/>
  <c r="AN9" i="3"/>
  <c r="P10" i="3"/>
  <c r="R10" i="3"/>
  <c r="AL10" i="3"/>
  <c r="AN10" i="3"/>
  <c r="P11" i="3"/>
  <c r="R11" i="3"/>
  <c r="T11" i="3"/>
  <c r="V11" i="3"/>
  <c r="X11" i="3"/>
  <c r="Z11" i="3"/>
  <c r="P12" i="3"/>
  <c r="R12" i="3"/>
  <c r="T12" i="3"/>
  <c r="V12" i="3"/>
  <c r="X12" i="3"/>
  <c r="Z12" i="3"/>
  <c r="AD12" i="3"/>
  <c r="AF12" i="3"/>
  <c r="AL12" i="3"/>
  <c r="AN12" i="3"/>
  <c r="P13" i="3"/>
  <c r="R13" i="3"/>
  <c r="T13" i="3"/>
  <c r="V13" i="3"/>
  <c r="X13" i="3"/>
  <c r="Z13" i="3"/>
  <c r="AB13" i="3"/>
  <c r="AD13" i="3"/>
  <c r="AF13" i="3"/>
  <c r="AH13" i="3"/>
  <c r="AJ13" i="3"/>
  <c r="AL13" i="3"/>
  <c r="AN13" i="3"/>
  <c r="AP13" i="3"/>
  <c r="P16" i="3"/>
  <c r="R16" i="3"/>
  <c r="T16" i="3"/>
  <c r="V16" i="3"/>
  <c r="X16" i="3"/>
  <c r="Z16" i="3"/>
  <c r="AB16" i="3"/>
  <c r="AD16" i="3"/>
  <c r="AF16" i="3"/>
  <c r="AL16" i="3"/>
  <c r="AN16" i="3"/>
  <c r="P18" i="3"/>
  <c r="R18" i="3"/>
  <c r="T18" i="3"/>
  <c r="V18" i="3"/>
  <c r="X18" i="3"/>
  <c r="Z18" i="3"/>
  <c r="AB18" i="3"/>
  <c r="AD18" i="3"/>
  <c r="AF18" i="3"/>
  <c r="AH18" i="3"/>
  <c r="AJ18" i="3"/>
  <c r="AL18" i="3"/>
  <c r="AN18" i="3"/>
  <c r="AP18" i="3"/>
  <c r="AN24" i="3"/>
  <c r="P25" i="3"/>
  <c r="R25" i="3"/>
  <c r="T25" i="3"/>
  <c r="V25" i="3"/>
  <c r="X25" i="3"/>
  <c r="Z25" i="3"/>
  <c r="AB25" i="3"/>
  <c r="AD25" i="3"/>
  <c r="AF25" i="3"/>
  <c r="AH25" i="3"/>
  <c r="AL25" i="3"/>
  <c r="AN25" i="3"/>
  <c r="AB27" i="3"/>
  <c r="AB32" i="3" s="1"/>
  <c r="AB23" i="3" s="1"/>
  <c r="V28" i="3"/>
  <c r="X28" i="3"/>
  <c r="AP28" i="3"/>
  <c r="R30" i="3"/>
  <c r="T30" i="3"/>
  <c r="V30" i="3"/>
  <c r="X30" i="3"/>
  <c r="Z30" i="3"/>
  <c r="AH30" i="3"/>
  <c r="AP30" i="3"/>
  <c r="P31" i="3"/>
  <c r="R31" i="3"/>
  <c r="T31" i="3"/>
  <c r="V31" i="3"/>
  <c r="X31" i="3"/>
  <c r="Z31" i="3"/>
  <c r="AD31" i="3"/>
  <c r="AF31" i="3"/>
  <c r="AH31" i="3"/>
  <c r="AJ31" i="3"/>
  <c r="AL31" i="3"/>
  <c r="AP31" i="3"/>
  <c r="P32" i="3"/>
  <c r="P23" i="3" s="1"/>
  <c r="R32" i="3"/>
  <c r="R23" i="3" s="1"/>
  <c r="T32" i="3"/>
  <c r="T23" i="3" s="1"/>
  <c r="V32" i="3"/>
  <c r="V23" i="3" s="1"/>
  <c r="X32" i="3"/>
  <c r="X23" i="3" s="1"/>
  <c r="Z32" i="3"/>
  <c r="Z23" i="3" s="1"/>
  <c r="AD32" i="3"/>
  <c r="AD23" i="3" s="1"/>
  <c r="AF32" i="3"/>
  <c r="AF23" i="3" s="1"/>
  <c r="AH32" i="3"/>
  <c r="AH23" i="3" s="1"/>
  <c r="AJ32" i="3"/>
  <c r="AJ23" i="3" s="1"/>
  <c r="AL32" i="3"/>
  <c r="AL23" i="3" s="1"/>
  <c r="AN32" i="3"/>
  <c r="AN23" i="3" s="1"/>
  <c r="AP32" i="3"/>
  <c r="AP23" i="3" s="1"/>
  <c r="AB34" i="3"/>
  <c r="AB44" i="3" s="1"/>
  <c r="V35" i="3"/>
  <c r="X35" i="3"/>
  <c r="V36" i="3"/>
  <c r="Z36" i="3"/>
  <c r="AB36" i="3"/>
  <c r="AC36" i="3"/>
  <c r="AD36" i="3"/>
  <c r="AF36" i="3"/>
  <c r="AH36" i="3"/>
  <c r="AJ36" i="3"/>
  <c r="AK36" i="3"/>
  <c r="AL36" i="3"/>
  <c r="AN36" i="3"/>
  <c r="P37" i="3"/>
  <c r="P39" i="3" s="1"/>
  <c r="P24" i="3" s="1"/>
  <c r="R37" i="3"/>
  <c r="R38" i="3" s="1"/>
  <c r="T37" i="3"/>
  <c r="T38" i="3" s="1"/>
  <c r="V37" i="3"/>
  <c r="V38" i="3" s="1"/>
  <c r="X37" i="3"/>
  <c r="X39" i="3" s="1"/>
  <c r="X24" i="3" s="1"/>
  <c r="AB37" i="3"/>
  <c r="AP37" i="3"/>
  <c r="Z38" i="3"/>
  <c r="AD38" i="3"/>
  <c r="AF38" i="3"/>
  <c r="AH38" i="3"/>
  <c r="AJ38" i="3"/>
  <c r="AL38" i="3"/>
  <c r="AL24" i="3" s="1"/>
  <c r="AP38" i="3"/>
  <c r="Z39" i="3"/>
  <c r="Z24" i="3" s="1"/>
  <c r="AD39" i="3"/>
  <c r="AD24" i="3" s="1"/>
  <c r="AF39" i="3"/>
  <c r="AF24" i="3" s="1"/>
  <c r="AH39" i="3"/>
  <c r="AH24" i="3" s="1"/>
  <c r="AJ39" i="3"/>
  <c r="AJ24" i="3" s="1"/>
  <c r="AL39" i="3"/>
  <c r="AN39" i="3"/>
  <c r="P41" i="3"/>
  <c r="R41" i="3"/>
  <c r="T41" i="3"/>
  <c r="V41" i="3"/>
  <c r="X41" i="3"/>
  <c r="Z41" i="3"/>
  <c r="AB41" i="3"/>
  <c r="AD41" i="3"/>
  <c r="AJ41" i="3"/>
  <c r="AL41" i="3"/>
  <c r="AP41" i="3"/>
  <c r="P44" i="3"/>
  <c r="R44" i="3"/>
  <c r="T44" i="3"/>
  <c r="V44" i="3"/>
  <c r="X44" i="3"/>
  <c r="AP44" i="3"/>
  <c r="AP47" i="3" s="1"/>
  <c r="P45" i="3"/>
  <c r="R45" i="3"/>
  <c r="T45" i="3"/>
  <c r="V45" i="3"/>
  <c r="X45" i="3"/>
  <c r="AB45" i="3"/>
  <c r="AP45" i="3"/>
  <c r="P46" i="3"/>
  <c r="R46" i="3"/>
  <c r="T46" i="3"/>
  <c r="V46" i="3"/>
  <c r="X46" i="3"/>
  <c r="AB46" i="3"/>
  <c r="AP46" i="3"/>
  <c r="Z47" i="3"/>
  <c r="AD47" i="3"/>
  <c r="AL47" i="3"/>
  <c r="AJ5" i="2"/>
  <c r="AN5" i="2"/>
  <c r="T4" i="2"/>
  <c r="AJ4" i="2"/>
  <c r="P5" i="2"/>
  <c r="R5" i="2"/>
  <c r="V5" i="2"/>
  <c r="V11" i="2" s="1"/>
  <c r="X5" i="2"/>
  <c r="Y5" i="2" s="1"/>
  <c r="Z5" i="2"/>
  <c r="AA5" i="2" s="1"/>
  <c r="AB5" i="2"/>
  <c r="AC5" i="2" s="1"/>
  <c r="AD5" i="2"/>
  <c r="AH5" i="2"/>
  <c r="AL5" i="2"/>
  <c r="AM5" i="2"/>
  <c r="AP5" i="2"/>
  <c r="T7" i="2"/>
  <c r="AB7" i="2"/>
  <c r="AD7" i="2"/>
  <c r="AD10" i="2" s="1"/>
  <c r="AE10" i="2" s="1"/>
  <c r="AJ7" i="2"/>
  <c r="T8" i="2"/>
  <c r="AJ8" i="2"/>
  <c r="T9" i="2"/>
  <c r="AB9" i="2"/>
  <c r="AD9" i="2"/>
  <c r="AJ9" i="2"/>
  <c r="P10" i="2"/>
  <c r="R10" i="2"/>
  <c r="T10" i="2"/>
  <c r="V10" i="2"/>
  <c r="X10" i="2"/>
  <c r="Z10" i="2"/>
  <c r="AB10" i="2"/>
  <c r="AF10" i="2"/>
  <c r="AH10" i="2"/>
  <c r="AI10" i="2" s="1"/>
  <c r="AJ10" i="2"/>
  <c r="AK10" i="2" s="1"/>
  <c r="AL10" i="2"/>
  <c r="AM10" i="2" s="1"/>
  <c r="AN10" i="2"/>
  <c r="AO10" i="2" s="1"/>
  <c r="AP10" i="2"/>
  <c r="AQ10" i="2" s="1"/>
  <c r="T12" i="2"/>
  <c r="AJ12" i="2"/>
  <c r="T14" i="2"/>
  <c r="AJ14" i="2"/>
  <c r="P15" i="2"/>
  <c r="R15" i="2"/>
  <c r="T18" i="2"/>
  <c r="AJ18" i="2"/>
  <c r="O58" i="4" l="1"/>
  <c r="Q58" i="4"/>
  <c r="X62" i="4"/>
  <c r="Y58" i="4"/>
  <c r="Y62" i="4" s="1"/>
  <c r="S58" i="4"/>
  <c r="S62" i="4" s="1"/>
  <c r="T28" i="4"/>
  <c r="T58" i="4" s="1"/>
  <c r="T62" i="4" s="1"/>
  <c r="T41" i="4"/>
  <c r="J9" i="4"/>
  <c r="I9" i="4" s="1"/>
  <c r="I31" i="4"/>
  <c r="I47" i="4" s="1"/>
  <c r="J47" i="4"/>
  <c r="I4" i="4"/>
  <c r="J23" i="4"/>
  <c r="J28" i="4" s="1"/>
  <c r="R47" i="3"/>
  <c r="Y47" i="4"/>
  <c r="T23" i="4"/>
  <c r="Y23" i="4"/>
  <c r="Y28" i="4" s="1"/>
  <c r="X47" i="3"/>
  <c r="P47" i="3"/>
  <c r="T47" i="3"/>
  <c r="X38" i="3"/>
  <c r="T39" i="3"/>
  <c r="T24" i="3" s="1"/>
  <c r="V47" i="3"/>
  <c r="AB47" i="3"/>
  <c r="P38" i="3"/>
  <c r="V39" i="3"/>
  <c r="V24" i="3" s="1"/>
  <c r="AB39" i="3"/>
  <c r="AB24" i="3" s="1"/>
  <c r="R39" i="3"/>
  <c r="R24" i="3" s="1"/>
  <c r="AD11" i="2"/>
  <c r="AD13" i="2" s="1"/>
  <c r="AD15" i="2" s="1"/>
  <c r="AE15" i="2" s="1"/>
  <c r="AH11" i="2"/>
  <c r="AH13" i="2" s="1"/>
  <c r="AH15" i="2" s="1"/>
  <c r="AI15" i="2" s="1"/>
  <c r="AP11" i="2"/>
  <c r="AP13" i="2" s="1"/>
  <c r="AP15" i="2" s="1"/>
  <c r="AQ15" i="2" s="1"/>
  <c r="AE5" i="2"/>
  <c r="AE11" i="2" s="1"/>
  <c r="Z11" i="2"/>
  <c r="AA11" i="2" s="1"/>
  <c r="R11" i="2"/>
  <c r="S11" i="2" s="1"/>
  <c r="AB38" i="3"/>
  <c r="AB31" i="3"/>
  <c r="AM11" i="2"/>
  <c r="X11" i="2"/>
  <c r="Y11" i="2" s="1"/>
  <c r="AL11" i="2"/>
  <c r="AL13" i="2" s="1"/>
  <c r="AL15" i="2" s="1"/>
  <c r="AM15" i="2" s="1"/>
  <c r="W5" i="2"/>
  <c r="AB11" i="2"/>
  <c r="AC11" i="2" s="1"/>
  <c r="AQ5" i="2"/>
  <c r="AI5" i="2"/>
  <c r="AI11" i="2" s="1"/>
  <c r="S5" i="2"/>
  <c r="X13" i="2"/>
  <c r="X15" i="2" s="1"/>
  <c r="AO5" i="2"/>
  <c r="AO11" i="2" s="1"/>
  <c r="AN11" i="2"/>
  <c r="AN13" i="2" s="1"/>
  <c r="AN15" i="2" s="1"/>
  <c r="AO15" i="2" s="1"/>
  <c r="W11" i="2"/>
  <c r="V13" i="2"/>
  <c r="V15" i="2" s="1"/>
  <c r="AK5" i="2"/>
  <c r="AJ11" i="2"/>
  <c r="AJ13" i="2" s="1"/>
  <c r="AJ15" i="2" s="1"/>
  <c r="AK15" i="2" s="1"/>
  <c r="T5" i="2"/>
  <c r="AB13" i="2"/>
  <c r="AB15" i="2" s="1"/>
  <c r="AC15" i="2" s="1"/>
  <c r="Q5" i="2"/>
  <c r="P11" i="2"/>
  <c r="Q11" i="2" s="1"/>
  <c r="AF5" i="2"/>
  <c r="J58" i="4" l="1"/>
  <c r="Q62" i="4"/>
  <c r="P60" i="4" s="1"/>
  <c r="P62" i="4" s="1"/>
  <c r="O60" i="4" s="1"/>
  <c r="O62" i="4" s="1"/>
  <c r="I23" i="4"/>
  <c r="I28" i="4" s="1"/>
  <c r="I58" i="4" s="1"/>
  <c r="N60" i="4"/>
  <c r="N62" i="4" s="1"/>
  <c r="R60" i="4"/>
  <c r="R62" i="4" s="1"/>
  <c r="Q60" i="4" s="1"/>
  <c r="Z13" i="2"/>
  <c r="Z15" i="2" s="1"/>
  <c r="AG5" i="2"/>
  <c r="AF11" i="2"/>
  <c r="U5" i="2"/>
  <c r="T11" i="2"/>
  <c r="I60" i="4" l="1"/>
  <c r="M60" i="4"/>
  <c r="M62" i="4" s="1"/>
  <c r="L60" i="4" s="1"/>
  <c r="L62" i="4" s="1"/>
  <c r="K60" i="4" s="1"/>
  <c r="K62" i="4" s="1"/>
  <c r="J60" i="4" s="1"/>
  <c r="J62" i="4" s="1"/>
  <c r="I62" i="4" s="1"/>
  <c r="U11" i="2"/>
  <c r="T13" i="2"/>
  <c r="T15" i="2" s="1"/>
  <c r="AG11" i="2"/>
  <c r="AF13" i="2"/>
  <c r="AF15" i="2" s="1"/>
  <c r="H60" i="4" l="1"/>
  <c r="H62" i="4" s="1"/>
  <c r="D60" i="4"/>
  <c r="D62" i="4" s="1"/>
  <c r="C62" i="4" l="1"/>
  <c r="G60" i="4"/>
  <c r="G62" i="4" s="1"/>
  <c r="F60" i="4" s="1"/>
  <c r="F62" i="4" s="1"/>
  <c r="E60" i="4" s="1"/>
  <c r="E62" i="4" s="1"/>
</calcChain>
</file>

<file path=xl/comments1.xml><?xml version="1.0" encoding="utf-8"?>
<comments xmlns="http://schemas.openxmlformats.org/spreadsheetml/2006/main">
  <authors>
    <author>Cynthia Lee</author>
    <author>李曉芸</author>
  </authors>
  <commentList>
    <comment ref="AG5" authorId="0">
      <text>
        <r>
          <rPr>
            <b/>
            <sz val="9"/>
            <color indexed="81"/>
            <rFont val="Tahoma"/>
            <family val="2"/>
          </rPr>
          <t>Cynthia 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保持原樣。</t>
        </r>
      </text>
    </comment>
    <comment ref="AG15" authorId="0">
      <text>
        <r>
          <rPr>
            <b/>
            <sz val="9"/>
            <color indexed="81"/>
            <rFont val="Tahoma"/>
            <family val="2"/>
          </rPr>
          <t>Cynthia 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取消呈現</t>
        </r>
      </text>
    </comment>
    <comment ref="L18" authorId="1">
      <text>
        <r>
          <rPr>
            <b/>
            <sz val="9"/>
            <color indexed="81"/>
            <rFont val="細明體"/>
            <family val="3"/>
            <charset val="136"/>
          </rPr>
          <t>李曉芸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改成</t>
        </r>
        <r>
          <rPr>
            <sz val="9"/>
            <color indexed="81"/>
            <rFont val="Tahoma"/>
            <family val="2"/>
          </rPr>
          <t>0.06</t>
        </r>
      </text>
    </comment>
  </commentList>
</comments>
</file>

<file path=xl/sharedStrings.xml><?xml version="1.0" encoding="utf-8"?>
<sst xmlns="http://schemas.openxmlformats.org/spreadsheetml/2006/main" count="215" uniqueCount="163">
  <si>
    <t>COGS</t>
  </si>
  <si>
    <t>Inventory(Gross)</t>
  </si>
  <si>
    <t>Revenue(Net Sales)</t>
    <phoneticPr fontId="1" type="noConversion"/>
  </si>
  <si>
    <t>A/P</t>
    <phoneticPr fontId="1" type="noConversion"/>
  </si>
  <si>
    <t>A/R(Gross)</t>
    <phoneticPr fontId="1" type="noConversion"/>
  </si>
  <si>
    <t>Days of the Quarter</t>
    <phoneticPr fontId="1" type="noConversion"/>
  </si>
  <si>
    <t>Current Ratio</t>
    <phoneticPr fontId="1" type="noConversion"/>
  </si>
  <si>
    <t>A/P Turnover Days</t>
    <phoneticPr fontId="1" type="noConversion"/>
  </si>
  <si>
    <t>營業收入淨額</t>
  </si>
  <si>
    <t>銷貨成本</t>
  </si>
  <si>
    <t>銷貨毛利</t>
  </si>
  <si>
    <t>營業費用</t>
  </si>
  <si>
    <t>　　推銷費用</t>
  </si>
  <si>
    <t>　　管理費用</t>
  </si>
  <si>
    <t>　　研發費用</t>
  </si>
  <si>
    <t>營業費用合計</t>
  </si>
  <si>
    <t xml:space="preserve">每股盈餘 (元) </t>
  </si>
  <si>
    <t>2013年第一季</t>
    <phoneticPr fontId="1" type="noConversion"/>
  </si>
  <si>
    <t>2012年第一季</t>
    <phoneticPr fontId="1" type="noConversion"/>
  </si>
  <si>
    <t>2012年第四季</t>
    <phoneticPr fontId="1" type="noConversion"/>
  </si>
  <si>
    <t>(單位: 新台幣仟元；除每股盈餘外)</t>
    <phoneticPr fontId="1" type="noConversion"/>
  </si>
  <si>
    <t xml:space="preserve">           應收帳款及票據</t>
  </si>
  <si>
    <t xml:space="preserve">           存貨(淨額)</t>
  </si>
  <si>
    <t xml:space="preserve">           其他流動資產</t>
  </si>
  <si>
    <t xml:space="preserve">      流動資產合計</t>
  </si>
  <si>
    <t xml:space="preserve">      固定資產淨額</t>
  </si>
  <si>
    <t xml:space="preserve">      無形資產</t>
  </si>
  <si>
    <t xml:space="preserve">      其他資產</t>
  </si>
  <si>
    <t>資產總計</t>
  </si>
  <si>
    <t xml:space="preserve">      應付帳款與票據</t>
  </si>
  <si>
    <t xml:space="preserve">      其他流動負債</t>
  </si>
  <si>
    <t>負債總計</t>
  </si>
  <si>
    <t>股東權益總計</t>
  </si>
  <si>
    <t>重要指標:</t>
  </si>
  <si>
    <t xml:space="preserve">      流動比率</t>
  </si>
  <si>
    <t>(單位: 新台幣仟元；除重要指標外)</t>
    <phoneticPr fontId="1" type="noConversion"/>
  </si>
  <si>
    <t>擷取自資產負債表的科目：</t>
    <phoneticPr fontId="1" type="noConversion"/>
  </si>
  <si>
    <t>　本期稅前淨利（淨損）</t>
  </si>
  <si>
    <t>　　　折舊費用</t>
  </si>
  <si>
    <t>　　　攤銷費用</t>
  </si>
  <si>
    <t>　　　利息費用</t>
  </si>
  <si>
    <t>　　　利息收入</t>
  </si>
  <si>
    <t>　　　股份基礎給付酬勞成本</t>
  </si>
  <si>
    <t>　　　採用權益法認列之關聯企業及合資損失（利益）之份額</t>
  </si>
  <si>
    <t>　　　不動產、廠房及設備轉列費用數</t>
  </si>
  <si>
    <t>　　　處分投資損失（利益）</t>
  </si>
  <si>
    <t>　　　未實現外幣兌換損失（利益）</t>
  </si>
  <si>
    <t>　支付之利息</t>
  </si>
  <si>
    <t>　  退還（支付）之所得稅</t>
    <phoneticPr fontId="1" type="noConversion"/>
  </si>
  <si>
    <t>　取得備供出售金融資產</t>
  </si>
  <si>
    <t>　處分備供出售金融資產</t>
  </si>
  <si>
    <t>　取得無活絡市場之債券投資</t>
  </si>
  <si>
    <t>　取得不動產、廠房及設備</t>
  </si>
  <si>
    <t>　取得無形資產</t>
  </si>
  <si>
    <t>　投資活動之淨現金流入（流出）</t>
  </si>
  <si>
    <t>匯率變動對現金及約當現金之影響</t>
  </si>
  <si>
    <t>本期現金及約當現金增加（減少）數</t>
  </si>
  <si>
    <t>期初現金及約當現金餘額</t>
  </si>
  <si>
    <t>期末現金及約當現金餘額</t>
  </si>
  <si>
    <t xml:space="preserve">    營業活動之淨現金流入（流出）</t>
    <phoneticPr fontId="1" type="noConversion"/>
  </si>
  <si>
    <t>投資活動之現金流量:</t>
    <phoneticPr fontId="1" type="noConversion"/>
  </si>
  <si>
    <t>籌資活動之現金流量:</t>
    <phoneticPr fontId="1" type="noConversion"/>
  </si>
  <si>
    <t xml:space="preserve">    籌資活動之淨現金流入（流出）</t>
    <phoneticPr fontId="1" type="noConversion"/>
  </si>
  <si>
    <t>(單位: 新台幣仟元)</t>
    <phoneticPr fontId="1" type="noConversion"/>
  </si>
  <si>
    <t>　　　透過損益按公允價值衡量金融資產及負債之淨損失（利益）</t>
    <phoneticPr fontId="1" type="noConversion"/>
  </si>
  <si>
    <t>營業活動之現金流量:</t>
    <phoneticPr fontId="1" type="noConversion"/>
  </si>
  <si>
    <t xml:space="preserve">    與營業活動相關之資產及負債之淨變動（合計數）</t>
    <phoneticPr fontId="1" type="noConversion"/>
  </si>
  <si>
    <t xml:space="preserve">    營運產生之現金流入（流出）</t>
    <phoneticPr fontId="1" type="noConversion"/>
  </si>
  <si>
    <t xml:space="preserve">    調整科目: </t>
    <phoneticPr fontId="1" type="noConversion"/>
  </si>
  <si>
    <t>2013年第二季</t>
    <phoneticPr fontId="1" type="noConversion"/>
  </si>
  <si>
    <t>2012年第二季</t>
    <phoneticPr fontId="1" type="noConversion"/>
  </si>
  <si>
    <t>　取得採用權益法之投資</t>
    <phoneticPr fontId="1" type="noConversion"/>
  </si>
  <si>
    <t>　存出保證金(增加)減少</t>
    <phoneticPr fontId="1" type="noConversion"/>
  </si>
  <si>
    <t>　存入保證金(增加)減少</t>
    <phoneticPr fontId="1" type="noConversion"/>
  </si>
  <si>
    <t>2012年第二季</t>
    <phoneticPr fontId="1" type="noConversion"/>
  </si>
  <si>
    <t>2013年第三季</t>
    <phoneticPr fontId="1" type="noConversion"/>
  </si>
  <si>
    <t>2012年第三季</t>
    <phoneticPr fontId="1" type="noConversion"/>
  </si>
  <si>
    <t xml:space="preserve">    發放現金股利</t>
    <phoneticPr fontId="1" type="noConversion"/>
  </si>
  <si>
    <t>2013年第三季</t>
    <phoneticPr fontId="1" type="noConversion"/>
  </si>
  <si>
    <t>2012年第三季</t>
    <phoneticPr fontId="1" type="noConversion"/>
  </si>
  <si>
    <t>QoQ</t>
    <phoneticPr fontId="1" type="noConversion"/>
  </si>
  <si>
    <t>YoY</t>
    <phoneticPr fontId="1" type="noConversion"/>
  </si>
  <si>
    <t>2013年第四季</t>
    <phoneticPr fontId="1" type="noConversion"/>
  </si>
  <si>
    <t>2012年第四季</t>
    <phoneticPr fontId="1" type="noConversion"/>
  </si>
  <si>
    <t>2013年第四季</t>
    <phoneticPr fontId="1" type="noConversion"/>
  </si>
  <si>
    <t>2013年全年</t>
    <phoneticPr fontId="1" type="noConversion"/>
  </si>
  <si>
    <t xml:space="preserve">            股利收入</t>
    <phoneticPr fontId="1" type="noConversion"/>
  </si>
  <si>
    <t>　收取之利息與股息</t>
    <phoneticPr fontId="1" type="noConversion"/>
  </si>
  <si>
    <t xml:space="preserve">    對子公司之收購</t>
    <phoneticPr fontId="1" type="noConversion"/>
  </si>
  <si>
    <t>2012年第四季</t>
    <phoneticPr fontId="1" type="noConversion"/>
  </si>
  <si>
    <t xml:space="preserve">            無形資產損益(帳列什項支出項下)</t>
    <phoneticPr fontId="1" type="noConversion"/>
  </si>
  <si>
    <t>　　　處分不動產(含投資性不動產)、廠房及設備損失（利益）</t>
    <phoneticPr fontId="1" type="noConversion"/>
  </si>
  <si>
    <t>A/R(Net)</t>
    <phoneticPr fontId="1" type="noConversion"/>
  </si>
  <si>
    <t>A/R Turnover Days(Gross)</t>
    <phoneticPr fontId="1" type="noConversion"/>
  </si>
  <si>
    <t>A/R Turnover Days(Net)</t>
    <phoneticPr fontId="1" type="noConversion"/>
  </si>
  <si>
    <t xml:space="preserve">Inventory Turnover Days (Gross) </t>
    <phoneticPr fontId="1" type="noConversion"/>
  </si>
  <si>
    <t>Inventory Turnover Days (net)</t>
    <phoneticPr fontId="1" type="noConversion"/>
  </si>
  <si>
    <t>Inventory(net)</t>
    <phoneticPr fontId="1" type="noConversion"/>
  </si>
  <si>
    <t xml:space="preserve">      存貨(淨額)週轉天數</t>
    <phoneticPr fontId="1" type="noConversion"/>
  </si>
  <si>
    <t xml:space="preserve">      應收帳款(淨額)週轉天數</t>
    <phoneticPr fontId="1" type="noConversion"/>
  </si>
  <si>
    <t>2014年第一季</t>
    <phoneticPr fontId="1" type="noConversion"/>
  </si>
  <si>
    <t>　　　呆帳費用</t>
    <phoneticPr fontId="1" type="noConversion"/>
  </si>
  <si>
    <t>2014年第一季</t>
    <phoneticPr fontId="1" type="noConversion"/>
  </si>
  <si>
    <t>2014年第二季</t>
    <phoneticPr fontId="1" type="noConversion"/>
  </si>
  <si>
    <t>2014年第二季</t>
    <phoneticPr fontId="1" type="noConversion"/>
  </si>
  <si>
    <t>2014年第三季</t>
    <phoneticPr fontId="1" type="noConversion"/>
  </si>
  <si>
    <t>2014年第三季</t>
    <phoneticPr fontId="1" type="noConversion"/>
  </si>
  <si>
    <t xml:space="preserve">    收取之股利</t>
    <phoneticPr fontId="1" type="noConversion"/>
  </si>
  <si>
    <t>2014年第四季</t>
    <phoneticPr fontId="1" type="noConversion"/>
  </si>
  <si>
    <t>2014年全年</t>
    <phoneticPr fontId="1" type="noConversion"/>
  </si>
  <si>
    <t>2014年第四季</t>
    <phoneticPr fontId="1" type="noConversion"/>
  </si>
  <si>
    <t>　取得持有至到期日金融資產</t>
    <phoneticPr fontId="1" type="noConversion"/>
  </si>
  <si>
    <t>　取得以成本衡量金融資產</t>
    <phoneticPr fontId="1" type="noConversion"/>
  </si>
  <si>
    <t>2015年第一季</t>
    <phoneticPr fontId="1" type="noConversion"/>
  </si>
  <si>
    <t>　處分無活絡市場之債券投資</t>
    <phoneticPr fontId="1" type="noConversion"/>
  </si>
  <si>
    <t xml:space="preserve">      長期投資</t>
    <phoneticPr fontId="1" type="noConversion"/>
  </si>
  <si>
    <t>2015年第二季</t>
    <phoneticPr fontId="1" type="noConversion"/>
  </si>
  <si>
    <t>2015年第二季</t>
    <phoneticPr fontId="1" type="noConversion"/>
  </si>
  <si>
    <t xml:space="preserve">            金融資產減損損失</t>
    <phoneticPr fontId="1" type="noConversion"/>
  </si>
  <si>
    <t xml:space="preserve">            非金融資產減損損失</t>
    <phoneticPr fontId="1" type="noConversion"/>
  </si>
  <si>
    <t xml:space="preserve">           現金、約當現金及有價金融商品投資</t>
    <phoneticPr fontId="1" type="noConversion"/>
  </si>
  <si>
    <t xml:space="preserve">      預付設備款(增加)減少</t>
    <phoneticPr fontId="1" type="noConversion"/>
  </si>
  <si>
    <t>2015年第三季</t>
    <phoneticPr fontId="1" type="noConversion"/>
  </si>
  <si>
    <t>2015年第三季</t>
    <phoneticPr fontId="1" type="noConversion"/>
  </si>
  <si>
    <t>2015年第四季</t>
    <phoneticPr fontId="1" type="noConversion"/>
  </si>
  <si>
    <t>2015年第四季</t>
    <phoneticPr fontId="1" type="noConversion"/>
  </si>
  <si>
    <t>2015年全年</t>
    <phoneticPr fontId="1" type="noConversion"/>
  </si>
  <si>
    <t xml:space="preserve">    員工購買庫藏股</t>
    <phoneticPr fontId="1" type="noConversion"/>
  </si>
  <si>
    <t xml:space="preserve">    庫藏股票買回成本</t>
    <phoneticPr fontId="1" type="noConversion"/>
  </si>
  <si>
    <t xml:space="preserve">      處分無形資產價款</t>
    <phoneticPr fontId="1" type="noConversion"/>
  </si>
  <si>
    <t xml:space="preserve">      處分其他資產價款</t>
    <phoneticPr fontId="1" type="noConversion"/>
  </si>
  <si>
    <t>營業淨利 (損)</t>
    <phoneticPr fontId="1" type="noConversion"/>
  </si>
  <si>
    <t>營業外收入及支出</t>
    <phoneticPr fontId="1" type="noConversion"/>
  </si>
  <si>
    <t>稅前淨利 (損)</t>
    <phoneticPr fontId="1" type="noConversion"/>
  </si>
  <si>
    <t>所得稅利益 (費用)</t>
    <phoneticPr fontId="1" type="noConversion"/>
  </si>
  <si>
    <t>本期淨利 (損)</t>
    <phoneticPr fontId="1" type="noConversion"/>
  </si>
  <si>
    <t xml:space="preserve">      非流動負債</t>
    <phoneticPr fontId="1" type="noConversion"/>
  </si>
  <si>
    <t>2016年第一季</t>
    <phoneticPr fontId="1" type="noConversion"/>
  </si>
  <si>
    <t>2015年第一季</t>
    <phoneticPr fontId="1" type="noConversion"/>
  </si>
  <si>
    <t>2016年第一季</t>
    <phoneticPr fontId="1" type="noConversion"/>
  </si>
  <si>
    <t>2016年第二季</t>
    <phoneticPr fontId="1" type="noConversion"/>
  </si>
  <si>
    <t>2016年第二季</t>
    <phoneticPr fontId="1" type="noConversion"/>
  </si>
  <si>
    <t>　處分不動產、廠房及設備價款</t>
    <phoneticPr fontId="1" type="noConversion"/>
  </si>
  <si>
    <t>2016年第三季</t>
    <phoneticPr fontId="1" type="noConversion"/>
  </si>
  <si>
    <t>2016年第三季</t>
    <phoneticPr fontId="1" type="noConversion"/>
  </si>
  <si>
    <t>2016年第四季</t>
    <phoneticPr fontId="1" type="noConversion"/>
  </si>
  <si>
    <t xml:space="preserve">    n/a</t>
    <phoneticPr fontId="1" type="noConversion"/>
  </si>
  <si>
    <t>2016年第四季</t>
    <phoneticPr fontId="1" type="noConversion"/>
  </si>
  <si>
    <t>2016年全年</t>
    <phoneticPr fontId="1" type="noConversion"/>
  </si>
  <si>
    <t>(單位: 新台幣仟元；除每股盈餘外)</t>
    <phoneticPr fontId="1" type="noConversion"/>
  </si>
  <si>
    <t>2015年</t>
    <phoneticPr fontId="1" type="noConversion"/>
  </si>
  <si>
    <t>2014年</t>
    <phoneticPr fontId="1" type="noConversion"/>
  </si>
  <si>
    <t>YoY</t>
    <phoneticPr fontId="1" type="noConversion"/>
  </si>
  <si>
    <t>營業淨利 (損)</t>
    <phoneticPr fontId="1" type="noConversion"/>
  </si>
  <si>
    <t>n/a</t>
    <phoneticPr fontId="1" type="noConversion"/>
  </si>
  <si>
    <t>營業外收入及支出</t>
    <phoneticPr fontId="1" type="noConversion"/>
  </si>
  <si>
    <t>稅前淨利 (損)</t>
    <phoneticPr fontId="1" type="noConversion"/>
  </si>
  <si>
    <t>所得稅利益 (費用)</t>
    <phoneticPr fontId="1" type="noConversion"/>
  </si>
  <si>
    <t>本期淨利 (損)</t>
    <phoneticPr fontId="1" type="noConversion"/>
  </si>
  <si>
    <t>2016年</t>
    <phoneticPr fontId="1" type="noConversion"/>
  </si>
  <si>
    <t>2017年第一季</t>
    <phoneticPr fontId="1" type="noConversion"/>
  </si>
  <si>
    <t>2017年第一季</t>
    <phoneticPr fontId="1" type="noConversion"/>
  </si>
  <si>
    <t>　處分持有至到期日金融資產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</si>
</sst>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0_);[Red]\(0\)"/>
    <numFmt numFmtId="179" formatCode="0.0_);[Red]\(0.0\)"/>
    <numFmt numFmtId="180" formatCode="#,##0_);[Red]\(#,##0\)"/>
    <numFmt numFmtId="181" formatCode="_-* #,##0.0_-;\-* #,##0.0_-;_-* &quot;-&quot;??_-;_-@_-"/>
    <numFmt numFmtId="182" formatCode="#,##0_);\(#,##0\)"/>
    <numFmt numFmtId="183" formatCode="###0%;[Red]\-###0%"/>
    <numFmt numFmtId="184" formatCode="0.0%"/>
    <numFmt numFmtId="185" formatCode="#,##0.00_);\(#,##0.00\)"/>
  </numFmts>
  <fonts count="24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Calibri"/>
      <family val="2"/>
    </font>
    <font>
      <i/>
      <sz val="9"/>
      <color rgb="FF237763"/>
      <name val="微軟正黑體"/>
      <family val="2"/>
      <charset val="136"/>
    </font>
    <font>
      <i/>
      <sz val="9"/>
      <name val="微軟正黑體"/>
      <family val="2"/>
      <charset val="136"/>
    </font>
    <font>
      <sz val="12"/>
      <name val="新細明體"/>
      <family val="1"/>
      <charset val="136"/>
    </font>
    <font>
      <b/>
      <sz val="9"/>
      <color indexed="8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/>
    <xf numFmtId="0" fontId="7" fillId="0" borderId="0"/>
    <xf numFmtId="0" fontId="18" fillId="0" borderId="0">
      <alignment vertical="center"/>
    </xf>
    <xf numFmtId="0" fontId="8" fillId="0" borderId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3" fillId="0" borderId="2" xfId="0" applyFont="1" applyFill="1" applyBorder="1">
      <alignment vertical="center"/>
    </xf>
    <xf numFmtId="9" fontId="3" fillId="0" borderId="2" xfId="0" applyNumberFormat="1" applyFont="1" applyFill="1" applyBorder="1">
      <alignment vertical="center"/>
    </xf>
    <xf numFmtId="182" fontId="3" fillId="0" borderId="2" xfId="5" applyNumberFormat="1" applyFont="1" applyFill="1" applyBorder="1">
      <alignment vertical="center"/>
    </xf>
    <xf numFmtId="9" fontId="3" fillId="0" borderId="2" xfId="6" applyNumberFormat="1" applyFont="1" applyFill="1" applyBorder="1">
      <alignment vertical="center"/>
    </xf>
    <xf numFmtId="177" fontId="3" fillId="0" borderId="2" xfId="5" applyNumberFormat="1" applyFont="1" applyFill="1" applyBorder="1">
      <alignment vertical="center"/>
    </xf>
    <xf numFmtId="9" fontId="3" fillId="0" borderId="2" xfId="5" applyNumberFormat="1" applyFont="1" applyFill="1" applyBorder="1">
      <alignment vertical="center"/>
    </xf>
    <xf numFmtId="182" fontId="3" fillId="0" borderId="3" xfId="5" applyNumberFormat="1" applyFont="1" applyFill="1" applyBorder="1">
      <alignment vertical="center"/>
    </xf>
    <xf numFmtId="177" fontId="3" fillId="0" borderId="3" xfId="5" applyNumberFormat="1" applyFont="1" applyFill="1" applyBorder="1">
      <alignment vertical="center"/>
    </xf>
    <xf numFmtId="182" fontId="3" fillId="0" borderId="4" xfId="5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177" fontId="3" fillId="0" borderId="4" xfId="5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176" fontId="5" fillId="2" borderId="2" xfId="5" applyNumberFormat="1" applyFont="1" applyFill="1" applyBorder="1">
      <alignment vertical="center"/>
    </xf>
    <xf numFmtId="0" fontId="5" fillId="2" borderId="5" xfId="0" applyFont="1" applyFill="1" applyBorder="1">
      <alignment vertical="center"/>
    </xf>
    <xf numFmtId="176" fontId="5" fillId="2" borderId="5" xfId="5" applyNumberFormat="1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180" fontId="3" fillId="2" borderId="7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5" fillId="2" borderId="0" xfId="5" applyNumberFormat="1" applyFont="1" applyFill="1" applyBorder="1">
      <alignment vertical="center"/>
    </xf>
    <xf numFmtId="176" fontId="6" fillId="2" borderId="0" xfId="5" applyNumberFormat="1" applyFont="1" applyFill="1" applyBorder="1">
      <alignment vertical="center"/>
    </xf>
    <xf numFmtId="9" fontId="19" fillId="0" borderId="2" xfId="6" applyNumberFormat="1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5" fillId="2" borderId="6" xfId="5" applyNumberFormat="1" applyFont="1" applyFill="1" applyBorder="1">
      <alignment vertical="center"/>
    </xf>
    <xf numFmtId="176" fontId="5" fillId="2" borderId="0" xfId="5" applyNumberFormat="1" applyFont="1" applyFill="1" applyBorder="1" applyAlignment="1">
      <alignment horizontal="right" vertical="center"/>
    </xf>
    <xf numFmtId="181" fontId="5" fillId="2" borderId="0" xfId="5" applyNumberFormat="1" applyFont="1" applyFill="1" applyBorder="1" applyAlignment="1">
      <alignment horizontal="right" vertical="center"/>
    </xf>
    <xf numFmtId="176" fontId="5" fillId="2" borderId="8" xfId="5" applyNumberFormat="1" applyFont="1" applyFill="1" applyBorder="1">
      <alignment vertical="center"/>
    </xf>
    <xf numFmtId="176" fontId="5" fillId="2" borderId="7" xfId="5" applyNumberFormat="1" applyFont="1" applyFill="1" applyBorder="1">
      <alignment vertical="center"/>
    </xf>
    <xf numFmtId="176" fontId="5" fillId="2" borderId="9" xfId="5" applyNumberFormat="1" applyFont="1" applyFill="1" applyBorder="1">
      <alignment vertical="center"/>
    </xf>
    <xf numFmtId="176" fontId="5" fillId="2" borderId="10" xfId="5" applyNumberFormat="1" applyFont="1" applyFill="1" applyBorder="1">
      <alignment vertical="center"/>
    </xf>
    <xf numFmtId="176" fontId="6" fillId="2" borderId="11" xfId="5" applyNumberFormat="1" applyFont="1" applyFill="1" applyBorder="1">
      <alignment vertical="center"/>
    </xf>
    <xf numFmtId="176" fontId="5" fillId="2" borderId="12" xfId="5" applyNumberFormat="1" applyFont="1" applyFill="1" applyBorder="1">
      <alignment vertical="center"/>
    </xf>
    <xf numFmtId="176" fontId="6" fillId="2" borderId="13" xfId="5" applyNumberFormat="1" applyFont="1" applyFill="1" applyBorder="1">
      <alignment vertical="center"/>
    </xf>
    <xf numFmtId="176" fontId="5" fillId="2" borderId="6" xfId="0" applyNumberFormat="1" applyFont="1" applyFill="1" applyBorder="1">
      <alignment vertical="center"/>
    </xf>
    <xf numFmtId="178" fontId="5" fillId="2" borderId="7" xfId="5" applyNumberFormat="1" applyFont="1" applyFill="1" applyBorder="1" applyAlignment="1">
      <alignment horizontal="right" vertical="center"/>
    </xf>
    <xf numFmtId="179" fontId="5" fillId="2" borderId="7" xfId="5" applyNumberFormat="1" applyFont="1" applyFill="1" applyBorder="1" applyAlignment="1">
      <alignment horizontal="right" vertical="center"/>
    </xf>
    <xf numFmtId="176" fontId="5" fillId="2" borderId="6" xfId="5" applyNumberFormat="1" applyFont="1" applyFill="1" applyBorder="1" applyAlignment="1">
      <alignment horizontal="right" vertical="center"/>
    </xf>
    <xf numFmtId="181" fontId="5" fillId="2" borderId="6" xfId="5" applyNumberFormat="1" applyFont="1" applyFill="1" applyBorder="1" applyAlignment="1">
      <alignment horizontal="right" vertical="center"/>
    </xf>
    <xf numFmtId="176" fontId="6" fillId="2" borderId="14" xfId="5" applyNumberFormat="1" applyFont="1" applyFill="1" applyBorder="1">
      <alignment vertical="center"/>
    </xf>
    <xf numFmtId="176" fontId="5" fillId="2" borderId="7" xfId="0" applyNumberFormat="1" applyFont="1" applyFill="1" applyBorder="1">
      <alignment vertical="center"/>
    </xf>
    <xf numFmtId="176" fontId="5" fillId="2" borderId="7" xfId="5" applyNumberFormat="1" applyFont="1" applyFill="1" applyBorder="1" applyAlignment="1">
      <alignment horizontal="right" vertical="center"/>
    </xf>
    <xf numFmtId="181" fontId="5" fillId="2" borderId="7" xfId="5" applyNumberFormat="1" applyFont="1" applyFill="1" applyBorder="1" applyAlignment="1">
      <alignment horizontal="right" vertical="center"/>
    </xf>
    <xf numFmtId="176" fontId="6" fillId="2" borderId="1" xfId="5" applyNumberFormat="1" applyFont="1" applyFill="1" applyBorder="1">
      <alignment vertical="center"/>
    </xf>
    <xf numFmtId="179" fontId="5" fillId="2" borderId="6" xfId="5" applyNumberFormat="1" applyFont="1" applyFill="1" applyBorder="1" applyAlignment="1">
      <alignment horizontal="right" vertical="center"/>
    </xf>
    <xf numFmtId="178" fontId="5" fillId="2" borderId="0" xfId="5" applyNumberFormat="1" applyFont="1" applyFill="1" applyBorder="1" applyAlignment="1">
      <alignment horizontal="right" vertical="center"/>
    </xf>
    <xf numFmtId="179" fontId="5" fillId="2" borderId="0" xfId="5" applyNumberFormat="1" applyFont="1" applyFill="1" applyBorder="1" applyAlignment="1">
      <alignment horizontal="right" vertical="center"/>
    </xf>
    <xf numFmtId="0" fontId="20" fillId="0" borderId="2" xfId="0" applyFont="1" applyFill="1" applyBorder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/>
    <xf numFmtId="0" fontId="11" fillId="2" borderId="7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20" fillId="0" borderId="7" xfId="0" applyFont="1" applyFill="1" applyBorder="1">
      <alignment vertical="center"/>
    </xf>
    <xf numFmtId="31" fontId="12" fillId="2" borderId="15" xfId="0" applyNumberFormat="1" applyFont="1" applyFill="1" applyBorder="1" applyAlignment="1">
      <alignment horizontal="center" vertical="center"/>
    </xf>
    <xf numFmtId="176" fontId="11" fillId="2" borderId="2" xfId="5" applyNumberFormat="1" applyFont="1" applyFill="1" applyBorder="1">
      <alignment vertical="center"/>
    </xf>
    <xf numFmtId="176" fontId="12" fillId="2" borderId="2" xfId="5" applyNumberFormat="1" applyFont="1" applyFill="1" applyBorder="1">
      <alignment vertical="center"/>
    </xf>
    <xf numFmtId="37" fontId="13" fillId="0" borderId="2" xfId="4" applyNumberFormat="1" applyFont="1" applyFill="1" applyBorder="1" applyAlignment="1" applyProtection="1">
      <alignment horizontal="left"/>
    </xf>
    <xf numFmtId="0" fontId="12" fillId="0" borderId="0" xfId="0" applyFont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37" fontId="14" fillId="0" borderId="2" xfId="4" applyNumberFormat="1" applyFont="1" applyFill="1" applyBorder="1" applyAlignment="1" applyProtection="1">
      <alignment horizontal="left" vertical="center"/>
    </xf>
    <xf numFmtId="0" fontId="14" fillId="0" borderId="2" xfId="4" applyFont="1" applyFill="1" applyBorder="1" applyAlignment="1">
      <alignment vertical="center"/>
    </xf>
    <xf numFmtId="182" fontId="4" fillId="0" borderId="16" xfId="5" applyNumberFormat="1" applyFont="1" applyFill="1" applyBorder="1">
      <alignment vertical="center"/>
    </xf>
    <xf numFmtId="182" fontId="3" fillId="0" borderId="17" xfId="5" applyNumberFormat="1" applyFont="1" applyFill="1" applyBorder="1">
      <alignment vertical="center"/>
    </xf>
    <xf numFmtId="182" fontId="4" fillId="0" borderId="18" xfId="5" applyNumberFormat="1" applyFont="1" applyFill="1" applyBorder="1">
      <alignment vertical="center"/>
    </xf>
    <xf numFmtId="176" fontId="6" fillId="2" borderId="5" xfId="5" applyNumberFormat="1" applyFont="1" applyFill="1" applyBorder="1">
      <alignment vertical="center"/>
    </xf>
    <xf numFmtId="9" fontId="3" fillId="0" borderId="2" xfId="6" applyFont="1" applyFill="1" applyBorder="1">
      <alignment vertical="center"/>
    </xf>
    <xf numFmtId="9" fontId="19" fillId="0" borderId="2" xfId="6" applyFont="1" applyFill="1" applyBorder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82" fontId="4" fillId="0" borderId="20" xfId="5" applyNumberFormat="1" applyFont="1" applyFill="1" applyBorder="1">
      <alignment vertical="center"/>
    </xf>
    <xf numFmtId="0" fontId="12" fillId="2" borderId="19" xfId="0" applyFont="1" applyFill="1" applyBorder="1" applyAlignment="1">
      <alignment horizontal="center" vertical="center"/>
    </xf>
    <xf numFmtId="182" fontId="3" fillId="0" borderId="21" xfId="5" applyNumberFormat="1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183" fontId="3" fillId="0" borderId="3" xfId="6" applyNumberFormat="1" applyFont="1" applyFill="1" applyBorder="1">
      <alignment vertical="center"/>
    </xf>
    <xf numFmtId="183" fontId="3" fillId="0" borderId="3" xfId="6" applyNumberFormat="1" applyFont="1" applyFill="1" applyBorder="1" applyAlignment="1">
      <alignment horizontal="right" vertical="center"/>
    </xf>
    <xf numFmtId="178" fontId="5" fillId="3" borderId="7" xfId="5" applyNumberFormat="1" applyFont="1" applyFill="1" applyBorder="1" applyAlignment="1">
      <alignment horizontal="right" vertical="center"/>
    </xf>
    <xf numFmtId="182" fontId="3" fillId="3" borderId="3" xfId="5" applyNumberFormat="1" applyFont="1" applyFill="1" applyBorder="1">
      <alignment vertical="center"/>
    </xf>
    <xf numFmtId="182" fontId="3" fillId="3" borderId="4" xfId="5" applyNumberFormat="1" applyFont="1" applyFill="1" applyBorder="1">
      <alignment vertical="center"/>
    </xf>
    <xf numFmtId="177" fontId="3" fillId="3" borderId="4" xfId="5" applyNumberFormat="1" applyFont="1" applyFill="1" applyBorder="1">
      <alignment vertical="center"/>
    </xf>
    <xf numFmtId="176" fontId="10" fillId="2" borderId="2" xfId="5" applyNumberFormat="1" applyFont="1" applyFill="1" applyBorder="1">
      <alignment vertical="center"/>
    </xf>
    <xf numFmtId="176" fontId="9" fillId="2" borderId="2" xfId="5" applyNumberFormat="1" applyFont="1" applyFill="1" applyBorder="1">
      <alignment vertical="center"/>
    </xf>
    <xf numFmtId="0" fontId="10" fillId="2" borderId="0" xfId="0" applyFont="1" applyFill="1">
      <alignment vertical="center"/>
    </xf>
    <xf numFmtId="176" fontId="3" fillId="2" borderId="2" xfId="5" applyNumberFormat="1" applyFont="1" applyFill="1" applyBorder="1">
      <alignment vertical="center"/>
    </xf>
    <xf numFmtId="0" fontId="3" fillId="2" borderId="2" xfId="0" applyFont="1" applyFill="1" applyBorder="1">
      <alignment vertical="center"/>
    </xf>
    <xf numFmtId="184" fontId="3" fillId="0" borderId="2" xfId="0" applyNumberFormat="1" applyFont="1" applyFill="1" applyBorder="1">
      <alignment vertical="center"/>
    </xf>
    <xf numFmtId="9" fontId="3" fillId="3" borderId="2" xfId="6" applyFont="1" applyFill="1" applyBorder="1">
      <alignment vertical="center"/>
    </xf>
    <xf numFmtId="176" fontId="5" fillId="0" borderId="6" xfId="5" applyNumberFormat="1" applyFont="1" applyFill="1" applyBorder="1">
      <alignment vertical="center"/>
    </xf>
    <xf numFmtId="182" fontId="3" fillId="3" borderId="2" xfId="5" applyNumberFormat="1" applyFont="1" applyFill="1" applyBorder="1">
      <alignment vertical="center"/>
    </xf>
    <xf numFmtId="182" fontId="4" fillId="3" borderId="16" xfId="5" applyNumberFormat="1" applyFont="1" applyFill="1" applyBorder="1">
      <alignment vertical="center"/>
    </xf>
    <xf numFmtId="182" fontId="3" fillId="0" borderId="24" xfId="5" applyNumberFormat="1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185" fontId="3" fillId="0" borderId="4" xfId="5" applyNumberFormat="1" applyFont="1" applyFill="1" applyBorder="1">
      <alignment vertical="center"/>
    </xf>
    <xf numFmtId="183" fontId="3" fillId="0" borderId="3" xfId="6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3" fillId="0" borderId="2" xfId="6" applyFont="1" applyFill="1" applyBorder="1" applyAlignment="1">
      <alignment horizontal="center" vertical="center"/>
    </xf>
    <xf numFmtId="9" fontId="3" fillId="0" borderId="2" xfId="6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1" fillId="0" borderId="2" xfId="0" applyFont="1" applyFill="1" applyBorder="1">
      <alignment vertical="center"/>
    </xf>
    <xf numFmtId="0" fontId="22" fillId="0" borderId="2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10" fillId="2" borderId="2" xfId="5" applyNumberFormat="1" applyFont="1" applyFill="1" applyBorder="1">
      <alignment vertical="center"/>
    </xf>
    <xf numFmtId="0" fontId="10" fillId="2" borderId="7" xfId="0" applyFont="1" applyFill="1" applyBorder="1">
      <alignment vertical="center"/>
    </xf>
    <xf numFmtId="185" fontId="3" fillId="3" borderId="4" xfId="5" applyNumberFormat="1" applyFont="1" applyFill="1" applyBorder="1">
      <alignment vertical="center"/>
    </xf>
    <xf numFmtId="0" fontId="9" fillId="0" borderId="19" xfId="0" applyFont="1" applyFill="1" applyBorder="1" applyAlignment="1">
      <alignment horizontal="center" vertical="center"/>
    </xf>
    <xf numFmtId="9" fontId="19" fillId="0" borderId="2" xfId="6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85" fontId="3" fillId="2" borderId="4" xfId="5" applyNumberFormat="1" applyFont="1" applyFill="1" applyBorder="1">
      <alignment vertical="center"/>
    </xf>
    <xf numFmtId="9" fontId="3" fillId="2" borderId="2" xfId="6" applyFont="1" applyFill="1" applyBorder="1">
      <alignment vertical="center"/>
    </xf>
    <xf numFmtId="182" fontId="3" fillId="2" borderId="2" xfId="5" applyNumberFormat="1" applyFont="1" applyFill="1" applyBorder="1">
      <alignment vertical="center"/>
    </xf>
  </cellXfs>
  <cellStyles count="9">
    <cellStyle name="一般" xfId="0" builtinId="0"/>
    <cellStyle name="一般 11" xfId="1"/>
    <cellStyle name="一般 2" xfId="2"/>
    <cellStyle name="一般 2 2 3" xfId="3"/>
    <cellStyle name="一般_CF" xfId="4"/>
    <cellStyle name="千分位" xfId="5" builtinId="3"/>
    <cellStyle name="百分比" xfId="6" builtinId="5"/>
    <cellStyle name="貨幣 2 2" xfId="7"/>
    <cellStyle name="貨幣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269875</xdr:colOff>
      <xdr:row>1</xdr:row>
      <xdr:rowOff>57150</xdr:rowOff>
    </xdr:to>
    <xdr:pic>
      <xdr:nvPicPr>
        <xdr:cNvPr id="2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07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22227</xdr:rowOff>
    </xdr:from>
    <xdr:to>
      <xdr:col>9</xdr:col>
      <xdr:colOff>152400</xdr:colOff>
      <xdr:row>1</xdr:row>
      <xdr:rowOff>76444</xdr:rowOff>
    </xdr:to>
    <xdr:sp macro="" textlink="">
      <xdr:nvSpPr>
        <xdr:cNvPr id="3" name="文字方塊 2"/>
        <xdr:cNvSpPr txBox="1"/>
      </xdr:nvSpPr>
      <xdr:spPr>
        <a:xfrm>
          <a:off x="0" y="22227"/>
          <a:ext cx="5918200" cy="270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>
              <a:solidFill>
                <a:schemeClr val="bg1"/>
              </a:solidFill>
              <a:latin typeface="微軟正黑體" pitchFamily="34" charset="-120"/>
              <a:ea typeface="微軟正黑體" pitchFamily="34" charset="-120"/>
            </a:rPr>
            <a:t>簡明合併損益表</a:t>
          </a:r>
        </a:p>
      </xdr:txBody>
    </xdr:sp>
    <xdr:clientData/>
  </xdr:twoCellAnchor>
  <xdr:twoCellAnchor editAs="oneCell">
    <xdr:from>
      <xdr:col>0</xdr:col>
      <xdr:colOff>47625</xdr:colOff>
      <xdr:row>1</xdr:row>
      <xdr:rowOff>85725</xdr:rowOff>
    </xdr:from>
    <xdr:to>
      <xdr:col>0</xdr:col>
      <xdr:colOff>1047750</xdr:colOff>
      <xdr:row>1</xdr:row>
      <xdr:rowOff>714375</xdr:rowOff>
    </xdr:to>
    <xdr:pic>
      <xdr:nvPicPr>
        <xdr:cNvPr id="4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016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190500</xdr:rowOff>
    </xdr:from>
    <xdr:to>
      <xdr:col>39</xdr:col>
      <xdr:colOff>593725</xdr:colOff>
      <xdr:row>23</xdr:row>
      <xdr:rowOff>38100</xdr:rowOff>
    </xdr:to>
    <xdr:pic>
      <xdr:nvPicPr>
        <xdr:cNvPr id="5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248888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64</xdr:col>
      <xdr:colOff>520700</xdr:colOff>
      <xdr:row>0</xdr:row>
      <xdr:rowOff>266700</xdr:rowOff>
    </xdr:to>
    <xdr:pic>
      <xdr:nvPicPr>
        <xdr:cNvPr id="2905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0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323850</xdr:rowOff>
    </xdr:from>
    <xdr:to>
      <xdr:col>0</xdr:col>
      <xdr:colOff>1057275</xdr:colOff>
      <xdr:row>0</xdr:row>
      <xdr:rowOff>952500</xdr:rowOff>
    </xdr:to>
    <xdr:pic>
      <xdr:nvPicPr>
        <xdr:cNvPr id="2906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74</xdr:col>
      <xdr:colOff>215900</xdr:colOff>
      <xdr:row>22</xdr:row>
      <xdr:rowOff>66675</xdr:rowOff>
    </xdr:to>
    <xdr:pic>
      <xdr:nvPicPr>
        <xdr:cNvPr id="2907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"/>
          <a:ext cx="2709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3177</xdr:rowOff>
    </xdr:from>
    <xdr:to>
      <xdr:col>33</xdr:col>
      <xdr:colOff>0</xdr:colOff>
      <xdr:row>0</xdr:row>
      <xdr:rowOff>266944</xdr:rowOff>
    </xdr:to>
    <xdr:sp macro="" textlink="">
      <xdr:nvSpPr>
        <xdr:cNvPr id="5" name="文字方塊 4"/>
        <xdr:cNvSpPr txBox="1"/>
      </xdr:nvSpPr>
      <xdr:spPr>
        <a:xfrm>
          <a:off x="0" y="9527"/>
          <a:ext cx="7705725" cy="247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>
              <a:solidFill>
                <a:schemeClr val="bg1"/>
              </a:solidFill>
              <a:latin typeface="微軟正黑體" pitchFamily="34" charset="-120"/>
              <a:ea typeface="微軟正黑體" pitchFamily="34" charset="-120"/>
            </a:rPr>
            <a:t>簡明合併損益表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625475</xdr:colOff>
      <xdr:row>0</xdr:row>
      <xdr:rowOff>266700</xdr:rowOff>
    </xdr:to>
    <xdr:pic>
      <xdr:nvPicPr>
        <xdr:cNvPr id="2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81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276225</xdr:rowOff>
    </xdr:from>
    <xdr:to>
      <xdr:col>0</xdr:col>
      <xdr:colOff>1028700</xdr:colOff>
      <xdr:row>0</xdr:row>
      <xdr:rowOff>904875</xdr:rowOff>
    </xdr:to>
    <xdr:pic>
      <xdr:nvPicPr>
        <xdr:cNvPr id="3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62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26</xdr:col>
      <xdr:colOff>539750</xdr:colOff>
      <xdr:row>50</xdr:row>
      <xdr:rowOff>66675</xdr:rowOff>
    </xdr:to>
    <xdr:pic>
      <xdr:nvPicPr>
        <xdr:cNvPr id="4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"/>
          <a:ext cx="1942465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247650</xdr:rowOff>
    </xdr:to>
    <xdr:sp macro="" textlink="">
      <xdr:nvSpPr>
        <xdr:cNvPr id="5" name="文字方塊 4"/>
        <xdr:cNvSpPr txBox="1"/>
      </xdr:nvSpPr>
      <xdr:spPr>
        <a:xfrm>
          <a:off x="0" y="0"/>
          <a:ext cx="9137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 i="0" u="none" strike="noStrike">
              <a:solidFill>
                <a:schemeClr val="bg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簡明合併資產負債表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65</xdr:col>
      <xdr:colOff>422275</xdr:colOff>
      <xdr:row>0</xdr:row>
      <xdr:rowOff>266700</xdr:rowOff>
    </xdr:to>
    <xdr:pic>
      <xdr:nvPicPr>
        <xdr:cNvPr id="3926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93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276225</xdr:rowOff>
    </xdr:from>
    <xdr:to>
      <xdr:col>0</xdr:col>
      <xdr:colOff>1028700</xdr:colOff>
      <xdr:row>0</xdr:row>
      <xdr:rowOff>904875</xdr:rowOff>
    </xdr:to>
    <xdr:pic>
      <xdr:nvPicPr>
        <xdr:cNvPr id="3927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62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66</xdr:col>
      <xdr:colOff>336550</xdr:colOff>
      <xdr:row>50</xdr:row>
      <xdr:rowOff>66675</xdr:rowOff>
    </xdr:to>
    <xdr:pic>
      <xdr:nvPicPr>
        <xdr:cNvPr id="3928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39425"/>
          <a:ext cx="21135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37</xdr:col>
      <xdr:colOff>0</xdr:colOff>
      <xdr:row>0</xdr:row>
      <xdr:rowOff>247650</xdr:rowOff>
    </xdr:to>
    <xdr:sp macro="" textlink="">
      <xdr:nvSpPr>
        <xdr:cNvPr id="5" name="文字方塊 4"/>
        <xdr:cNvSpPr txBox="1"/>
      </xdr:nvSpPr>
      <xdr:spPr>
        <a:xfrm>
          <a:off x="0" y="0"/>
          <a:ext cx="70389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 i="0" u="none" strike="noStrike">
              <a:solidFill>
                <a:schemeClr val="bg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簡明合併資產負債表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276225</xdr:rowOff>
    </xdr:from>
    <xdr:to>
      <xdr:col>0</xdr:col>
      <xdr:colOff>1028700</xdr:colOff>
      <xdr:row>0</xdr:row>
      <xdr:rowOff>904875</xdr:rowOff>
    </xdr:to>
    <xdr:pic>
      <xdr:nvPicPr>
        <xdr:cNvPr id="4736" name="圖片 5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009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46</xdr:col>
      <xdr:colOff>73025</xdr:colOff>
      <xdr:row>0</xdr:row>
      <xdr:rowOff>266700</xdr:rowOff>
    </xdr:to>
    <xdr:pic>
      <xdr:nvPicPr>
        <xdr:cNvPr id="4737" name="圖片 4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247650</xdr:rowOff>
    </xdr:to>
    <xdr:sp macro="" textlink="">
      <xdr:nvSpPr>
        <xdr:cNvPr id="7" name="文字方塊 6"/>
        <xdr:cNvSpPr txBox="1"/>
      </xdr:nvSpPr>
      <xdr:spPr>
        <a:xfrm>
          <a:off x="0" y="0"/>
          <a:ext cx="7381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 i="0" u="none" strike="noStrike">
              <a:solidFill>
                <a:schemeClr val="bg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合併簡明現金流量變動表</a:t>
          </a:r>
          <a:endParaRPr lang="zh-TW" altLang="en-US" sz="1200" b="1">
            <a:solidFill>
              <a:schemeClr val="bg1"/>
            </a:solidFill>
            <a:latin typeface="微軟正黑體" pitchFamily="34" charset="-120"/>
            <a:ea typeface="微軟正黑體" pitchFamily="34" charset="-12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LIA~1.HUA\AppData\Local\Temp\notesC9812B\4Q15(CH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簡明合併損益表"/>
      <sheetName val="季度簡明合併損益表"/>
      <sheetName val="年度簡明合併資產負債表"/>
      <sheetName val="季度簡明合併資產負債表"/>
      <sheetName val="簡明現金流量變動表"/>
    </sheetNames>
    <sheetDataSet>
      <sheetData sheetId="0"/>
      <sheetData sheetId="1">
        <row r="3">
          <cell r="B3">
            <v>1110908</v>
          </cell>
          <cell r="D3">
            <v>952310</v>
          </cell>
          <cell r="F3">
            <v>658485</v>
          </cell>
          <cell r="H3">
            <v>909890</v>
          </cell>
          <cell r="J3">
            <v>1126645</v>
          </cell>
          <cell r="L3">
            <v>1395830</v>
          </cell>
          <cell r="N3">
            <v>1016890</v>
          </cell>
          <cell r="P3">
            <v>1108030</v>
          </cell>
          <cell r="R3">
            <v>1280595</v>
          </cell>
          <cell r="T3">
            <v>1058707</v>
          </cell>
          <cell r="V3">
            <v>955183</v>
          </cell>
          <cell r="X3">
            <v>861099</v>
          </cell>
        </row>
        <row r="4">
          <cell r="B4">
            <v>-646306</v>
          </cell>
          <cell r="D4">
            <v>-547225</v>
          </cell>
          <cell r="F4">
            <v>-403323</v>
          </cell>
          <cell r="H4">
            <v>-530090</v>
          </cell>
          <cell r="J4">
            <v>-685726</v>
          </cell>
          <cell r="L4">
            <v>-798154</v>
          </cell>
          <cell r="N4">
            <v>-542663</v>
          </cell>
          <cell r="P4">
            <v>-558453</v>
          </cell>
          <cell r="R4">
            <v>-667492</v>
          </cell>
          <cell r="T4">
            <v>-617622</v>
          </cell>
          <cell r="V4">
            <v>-519202</v>
          </cell>
          <cell r="X4">
            <v>-473059</v>
          </cell>
        </row>
        <row r="5">
          <cell r="B5">
            <v>464602</v>
          </cell>
          <cell r="D5">
            <v>405085</v>
          </cell>
          <cell r="F5">
            <v>255162</v>
          </cell>
          <cell r="H5">
            <v>379800</v>
          </cell>
          <cell r="J5">
            <v>440919</v>
          </cell>
          <cell r="L5">
            <v>597676</v>
          </cell>
          <cell r="N5">
            <v>474227</v>
          </cell>
          <cell r="P5">
            <v>549577</v>
          </cell>
          <cell r="R5">
            <v>613103</v>
          </cell>
          <cell r="T5">
            <v>441085</v>
          </cell>
          <cell r="V5">
            <v>435981</v>
          </cell>
          <cell r="X5">
            <v>388040</v>
          </cell>
        </row>
        <row r="7">
          <cell r="B7">
            <v>-74961</v>
          </cell>
          <cell r="D7">
            <v>-73794</v>
          </cell>
          <cell r="F7">
            <v>-60269</v>
          </cell>
          <cell r="H7">
            <v>-65640</v>
          </cell>
          <cell r="J7">
            <v>-85182</v>
          </cell>
          <cell r="L7">
            <v>-104663</v>
          </cell>
          <cell r="N7">
            <v>-80635</v>
          </cell>
          <cell r="P7">
            <v>-87385</v>
          </cell>
          <cell r="R7">
            <v>-84610</v>
          </cell>
          <cell r="T7">
            <v>-62863</v>
          </cell>
          <cell r="V7">
            <v>-38651</v>
          </cell>
          <cell r="X7">
            <v>-72188</v>
          </cell>
        </row>
        <row r="8">
          <cell r="B8">
            <v>-80371</v>
          </cell>
          <cell r="D8">
            <v>-66866</v>
          </cell>
          <cell r="F8">
            <v>-76032</v>
          </cell>
          <cell r="H8">
            <v>-71040</v>
          </cell>
          <cell r="J8">
            <v>-81377</v>
          </cell>
          <cell r="L8">
            <v>-78543</v>
          </cell>
          <cell r="N8">
            <v>-73340</v>
          </cell>
          <cell r="P8">
            <v>-89030</v>
          </cell>
          <cell r="R8">
            <v>-125653</v>
          </cell>
          <cell r="T8">
            <v>-100274</v>
          </cell>
          <cell r="V8">
            <v>-99303</v>
          </cell>
          <cell r="X8">
            <v>-77999</v>
          </cell>
        </row>
        <row r="9">
          <cell r="B9">
            <v>-307904</v>
          </cell>
          <cell r="D9">
            <v>-303392</v>
          </cell>
          <cell r="F9">
            <v>-286553</v>
          </cell>
          <cell r="H9">
            <v>-260953</v>
          </cell>
          <cell r="J9">
            <v>-272407</v>
          </cell>
          <cell r="L9">
            <v>-291762</v>
          </cell>
          <cell r="N9">
            <v>-278005</v>
          </cell>
          <cell r="P9">
            <v>-301629</v>
          </cell>
          <cell r="R9">
            <v>-333193</v>
          </cell>
          <cell r="T9">
            <v>-290603</v>
          </cell>
          <cell r="V9">
            <v>-265858</v>
          </cell>
          <cell r="X9">
            <v>-306809</v>
          </cell>
        </row>
        <row r="10">
          <cell r="B10">
            <v>-463236</v>
          </cell>
          <cell r="D10">
            <v>-444052</v>
          </cell>
          <cell r="F10">
            <v>-422854</v>
          </cell>
          <cell r="H10">
            <v>-397633</v>
          </cell>
          <cell r="J10">
            <v>-438966</v>
          </cell>
          <cell r="L10">
            <v>-474968</v>
          </cell>
          <cell r="N10">
            <v>-431980</v>
          </cell>
          <cell r="P10">
            <v>-478044</v>
          </cell>
          <cell r="R10">
            <v>-543456</v>
          </cell>
          <cell r="T10">
            <v>-453740</v>
          </cell>
          <cell r="V10">
            <v>-403812</v>
          </cell>
          <cell r="X10">
            <v>-456996</v>
          </cell>
        </row>
        <row r="11">
          <cell r="B11">
            <v>1366</v>
          </cell>
          <cell r="D11">
            <v>-38967</v>
          </cell>
          <cell r="F11">
            <v>-167692</v>
          </cell>
          <cell r="H11">
            <v>-17833</v>
          </cell>
          <cell r="J11">
            <v>1953</v>
          </cell>
          <cell r="L11">
            <v>122708</v>
          </cell>
          <cell r="N11">
            <v>42247</v>
          </cell>
          <cell r="P11">
            <v>71533</v>
          </cell>
          <cell r="R11">
            <v>69647</v>
          </cell>
          <cell r="T11">
            <v>-12655</v>
          </cell>
          <cell r="V11">
            <v>32169</v>
          </cell>
          <cell r="X11">
            <v>-68956</v>
          </cell>
        </row>
        <row r="12">
          <cell r="B12">
            <v>24965</v>
          </cell>
          <cell r="D12">
            <v>73336</v>
          </cell>
          <cell r="F12">
            <v>11088</v>
          </cell>
          <cell r="H12">
            <v>23393</v>
          </cell>
          <cell r="J12">
            <v>34982</v>
          </cell>
          <cell r="L12">
            <v>11432</v>
          </cell>
          <cell r="N12">
            <v>6343</v>
          </cell>
          <cell r="P12">
            <v>21458</v>
          </cell>
          <cell r="R12">
            <v>26054</v>
          </cell>
          <cell r="T12">
            <v>8273</v>
          </cell>
          <cell r="V12">
            <v>920731</v>
          </cell>
          <cell r="X12">
            <v>28391</v>
          </cell>
        </row>
        <row r="13">
          <cell r="B13">
            <v>26331</v>
          </cell>
          <cell r="D13">
            <v>34369</v>
          </cell>
          <cell r="F13">
            <v>-156604</v>
          </cell>
          <cell r="H13">
            <v>5560</v>
          </cell>
          <cell r="J13">
            <v>36935</v>
          </cell>
          <cell r="L13">
            <v>134140</v>
          </cell>
          <cell r="N13">
            <v>48590</v>
          </cell>
          <cell r="P13">
            <v>92991</v>
          </cell>
          <cell r="R13">
            <v>95701</v>
          </cell>
          <cell r="T13">
            <v>-4382</v>
          </cell>
          <cell r="V13">
            <v>952900</v>
          </cell>
          <cell r="X13">
            <v>-40565</v>
          </cell>
        </row>
        <row r="14">
          <cell r="B14">
            <v>-8500</v>
          </cell>
          <cell r="D14">
            <v>-3324</v>
          </cell>
          <cell r="F14">
            <v>21197</v>
          </cell>
          <cell r="H14">
            <v>-4937</v>
          </cell>
          <cell r="J14">
            <v>-964</v>
          </cell>
          <cell r="L14">
            <v>-21890</v>
          </cell>
          <cell r="N14">
            <v>-14910</v>
          </cell>
          <cell r="P14">
            <v>-10242</v>
          </cell>
          <cell r="R14">
            <v>-29406</v>
          </cell>
          <cell r="T14">
            <v>-39619</v>
          </cell>
          <cell r="V14">
            <v>-36179</v>
          </cell>
          <cell r="X14">
            <v>-7662</v>
          </cell>
        </row>
        <row r="15">
          <cell r="B15">
            <v>17831</v>
          </cell>
          <cell r="D15">
            <v>31045</v>
          </cell>
          <cell r="F15">
            <v>-135407</v>
          </cell>
          <cell r="H15">
            <v>623</v>
          </cell>
          <cell r="J15">
            <v>35971</v>
          </cell>
          <cell r="L15">
            <v>112250</v>
          </cell>
          <cell r="N15">
            <v>33680</v>
          </cell>
          <cell r="P15">
            <v>82749</v>
          </cell>
          <cell r="R15">
            <v>66295</v>
          </cell>
          <cell r="T15">
            <v>-44001</v>
          </cell>
          <cell r="V15">
            <v>916721</v>
          </cell>
          <cell r="X15">
            <v>-48227</v>
          </cell>
        </row>
        <row r="18">
          <cell r="B18">
            <v>0.06</v>
          </cell>
          <cell r="D18">
            <v>0.11</v>
          </cell>
          <cell r="F18">
            <v>-0.46</v>
          </cell>
          <cell r="H18">
            <v>0</v>
          </cell>
          <cell r="J18">
            <v>0.12</v>
          </cell>
          <cell r="L18">
            <v>0.38</v>
          </cell>
          <cell r="N18">
            <v>0.12</v>
          </cell>
          <cell r="P18">
            <v>0.28000000000000003</v>
          </cell>
          <cell r="R18">
            <v>0.23</v>
          </cell>
          <cell r="T18">
            <v>-0.15</v>
          </cell>
          <cell r="V18">
            <v>3.13</v>
          </cell>
          <cell r="X18">
            <v>-0.16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L12" sqref="L12"/>
    </sheetView>
  </sheetViews>
  <sheetFormatPr defaultColWidth="9" defaultRowHeight="16.5"/>
  <cols>
    <col min="1" max="1" width="26.375" style="102" bestFit="1" customWidth="1"/>
    <col min="2" max="2" width="19.625" style="102" customWidth="1"/>
    <col min="3" max="3" width="7.875" style="103" customWidth="1"/>
    <col min="4" max="4" width="19.625" style="102" customWidth="1"/>
    <col min="5" max="5" width="6.125" style="103" bestFit="1" customWidth="1"/>
    <col min="6" max="6" width="11.375" style="102" hidden="1" customWidth="1"/>
    <col min="7" max="7" width="6.125" style="103" hidden="1" customWidth="1"/>
    <col min="8" max="8" width="11.375" style="102" hidden="1" customWidth="1"/>
    <col min="9" max="9" width="6.125" style="103" hidden="1" customWidth="1"/>
    <col min="10" max="10" width="7.125" style="103" bestFit="1" customWidth="1"/>
    <col min="11" max="16384" width="9" style="102"/>
  </cols>
  <sheetData>
    <row r="2" spans="1:10" ht="57" customHeight="1"/>
    <row r="4" spans="1:10" ht="17.25" thickBot="1">
      <c r="A4" s="101" t="s">
        <v>149</v>
      </c>
      <c r="B4" s="109" t="s">
        <v>159</v>
      </c>
      <c r="C4" s="110"/>
      <c r="D4" s="109" t="s">
        <v>150</v>
      </c>
      <c r="E4" s="110"/>
      <c r="F4" s="109" t="s">
        <v>151</v>
      </c>
      <c r="G4" s="110"/>
      <c r="H4" s="109">
        <v>2013</v>
      </c>
      <c r="I4" s="110"/>
      <c r="J4" s="107" t="s">
        <v>152</v>
      </c>
    </row>
    <row r="5" spans="1:10">
      <c r="A5" s="51" t="s">
        <v>8</v>
      </c>
      <c r="B5" s="3">
        <f>季度簡明合併損益表!D3+季度簡明合併損益表!F3+季度簡明合併損益表!H3+季度簡明合併損益表!J3</f>
        <v>3400744</v>
      </c>
      <c r="C5" s="98">
        <f>B5/B5</f>
        <v>1</v>
      </c>
      <c r="D5" s="3">
        <f>SUM([1]季度簡明合併損益表!B3,[1]季度簡明合併損益表!D3,[1]季度簡明合併損益表!F3,[1]季度簡明合併損益表!H3)</f>
        <v>3631593</v>
      </c>
      <c r="E5" s="98">
        <f>D5/D5</f>
        <v>1</v>
      </c>
      <c r="F5" s="3">
        <f>SUM([1]季度簡明合併損益表!J3,[1]季度簡明合併損益表!L3,[1]季度簡明合併損益表!N3,[1]季度簡明合併損益表!P3)</f>
        <v>4647395</v>
      </c>
      <c r="G5" s="98">
        <f>F5/F5</f>
        <v>1</v>
      </c>
      <c r="H5" s="3">
        <f>SUM([1]季度簡明合併損益表!R3,[1]季度簡明合併損益表!T3,[1]季度簡明合併損益表!V3,[1]季度簡明合併損益表!X3)</f>
        <v>4155584</v>
      </c>
      <c r="I5" s="98">
        <f>H5/H5</f>
        <v>1</v>
      </c>
      <c r="J5" s="96">
        <f>B5/D5-1</f>
        <v>-6.3566869965880013E-2</v>
      </c>
    </row>
    <row r="6" spans="1:10">
      <c r="A6" s="52" t="s">
        <v>9</v>
      </c>
      <c r="B6" s="9">
        <f>季度簡明合併損益表!D4+季度簡明合併損益表!F4+季度簡明合併損益表!H4+季度簡明合併損益表!J4</f>
        <v>-2154403</v>
      </c>
      <c r="C6" s="98"/>
      <c r="D6" s="9">
        <f>SUM([1]季度簡明合併損益表!B4,[1]季度簡明合併損益表!D4,[1]季度簡明合併損益表!F4,[1]季度簡明合併損益表!H4)</f>
        <v>-2126944</v>
      </c>
      <c r="E6" s="98"/>
      <c r="F6" s="9">
        <f>SUM([1]季度簡明合併損益表!J4,[1]季度簡明合併損益表!L4,[1]季度簡明合併損益表!N4,[1]季度簡明合併損益表!P4)</f>
        <v>-2584996</v>
      </c>
      <c r="G6" s="98"/>
      <c r="H6" s="9">
        <f>SUM([1]季度簡明合併損益表!R4,[1]季度簡明合併損益表!T4,[1]季度簡明合併損益表!V4,[1]季度簡明合併損益表!X4)</f>
        <v>-2277375</v>
      </c>
      <c r="I6" s="98"/>
      <c r="J6" s="96">
        <f>B6/D6-1</f>
        <v>1.2910071915386512E-2</v>
      </c>
    </row>
    <row r="7" spans="1:10">
      <c r="A7" s="51" t="s">
        <v>10</v>
      </c>
      <c r="B7" s="93">
        <f>B5+B6</f>
        <v>1246341</v>
      </c>
      <c r="C7" s="99">
        <f>B7/B5</f>
        <v>0.3664906855676287</v>
      </c>
      <c r="D7" s="93">
        <f>SUM([1]季度簡明合併損益表!B5,[1]季度簡明合併損益表!D5,[1]季度簡明合併損益表!F5,[1]季度簡明合併損益表!H5)</f>
        <v>1504649</v>
      </c>
      <c r="E7" s="99">
        <f>D7/D5</f>
        <v>0.41432203443502619</v>
      </c>
      <c r="F7" s="93">
        <f>SUM([1]季度簡明合併損益表!J5,[1]季度簡明合併損益表!L5,[1]季度簡明合併損益表!N5,[1]季度簡明合併損益表!P5)</f>
        <v>2062399</v>
      </c>
      <c r="G7" s="99">
        <f>F7/F5</f>
        <v>0.44377527625691382</v>
      </c>
      <c r="H7" s="93">
        <f>SUM([1]季度簡明合併損益表!R5,[1]季度簡明合併損益表!T5,[1]季度簡明合併損益表!V5,[1]季度簡明合併損益表!X5)</f>
        <v>1878209</v>
      </c>
      <c r="I7" s="99">
        <f>H7/H5</f>
        <v>0.45197233409311421</v>
      </c>
      <c r="J7" s="96">
        <f>B7/D7-1</f>
        <v>-0.17167326067408417</v>
      </c>
    </row>
    <row r="8" spans="1:10">
      <c r="A8" s="52" t="s">
        <v>11</v>
      </c>
      <c r="B8" s="7"/>
      <c r="C8" s="98"/>
      <c r="D8" s="7"/>
      <c r="E8" s="98"/>
      <c r="F8" s="7"/>
      <c r="G8" s="98"/>
      <c r="H8" s="7">
        <f>SUM([1]季度簡明合併損益表!R6,[1]季度簡明合併損益表!T6,[1]季度簡明合併損益表!V6,[1]季度簡明合併損益表!X6)</f>
        <v>0</v>
      </c>
      <c r="I8" s="98"/>
      <c r="J8" s="96"/>
    </row>
    <row r="9" spans="1:10">
      <c r="A9" s="52" t="s">
        <v>12</v>
      </c>
      <c r="B9" s="3">
        <f>季度簡明合併損益表!D7+季度簡明合併損益表!F7+季度簡明合併損益表!H7+季度簡明合併損益表!J7</f>
        <v>-239486</v>
      </c>
      <c r="C9" s="98"/>
      <c r="D9" s="3">
        <f>SUM([1]季度簡明合併損益表!B7,[1]季度簡明合併損益表!D7,[1]季度簡明合併損益表!F7,[1]季度簡明合併損益表!H7)</f>
        <v>-274664</v>
      </c>
      <c r="E9" s="98"/>
      <c r="F9" s="3">
        <f>SUM([1]季度簡明合併損益表!J7,[1]季度簡明合併損益表!L7,[1]季度簡明合併損益表!N7,[1]季度簡明合併損益表!P7)</f>
        <v>-357865</v>
      </c>
      <c r="G9" s="98"/>
      <c r="H9" s="3">
        <f>SUM([1]季度簡明合併損益表!R7,[1]季度簡明合併損益表!T7,[1]季度簡明合併損益表!V7,[1]季度簡明合併損益表!X7)</f>
        <v>-258312</v>
      </c>
      <c r="I9" s="98"/>
      <c r="J9" s="96">
        <f>B9/D9-1</f>
        <v>-0.12807648617947742</v>
      </c>
    </row>
    <row r="10" spans="1:10">
      <c r="A10" s="52" t="s">
        <v>13</v>
      </c>
      <c r="B10" s="3">
        <f>季度簡明合併損益表!D8+季度簡明合併損益表!F8+季度簡明合併損益表!H8+季度簡明合併損益表!J8</f>
        <v>-255350</v>
      </c>
      <c r="C10" s="98"/>
      <c r="D10" s="3">
        <f>SUM([1]季度簡明合併損益表!B8,[1]季度簡明合併損益表!D8,[1]季度簡明合併損益表!F8,[1]季度簡明合併損益表!H8)</f>
        <v>-294309</v>
      </c>
      <c r="E10" s="98"/>
      <c r="F10" s="3">
        <f>SUM([1]季度簡明合併損益表!J8,[1]季度簡明合併損益表!L8,[1]季度簡明合併損益表!N8,[1]季度簡明合併損益表!P8)</f>
        <v>-322290</v>
      </c>
      <c r="G10" s="98"/>
      <c r="H10" s="3">
        <f>SUM([1]季度簡明合併損益表!R8,[1]季度簡明合併損益表!T8,[1]季度簡明合併損益表!V8,[1]季度簡明合併損益表!X8)</f>
        <v>-403229</v>
      </c>
      <c r="I10" s="98"/>
      <c r="J10" s="96">
        <f>B10/D10-1</f>
        <v>-0.13237447716515638</v>
      </c>
    </row>
    <row r="11" spans="1:10">
      <c r="A11" s="52" t="s">
        <v>14</v>
      </c>
      <c r="B11" s="3">
        <f>季度簡明合併損益表!D9+季度簡明合併損益表!F9+季度簡明合併損益表!H9+季度簡明合併損益表!J9</f>
        <v>-1129398</v>
      </c>
      <c r="C11" s="98"/>
      <c r="D11" s="3">
        <f>SUM([1]季度簡明合併損益表!B9,[1]季度簡明合併損益表!D9,[1]季度簡明合併損益表!F9,[1]季度簡明合併損益表!H9)</f>
        <v>-1158802</v>
      </c>
      <c r="E11" s="98"/>
      <c r="F11" s="3">
        <f>SUM([1]季度簡明合併損益表!J9,[1]季度簡明合併損益表!L9,[1]季度簡明合併損益表!N9,[1]季度簡明合併損益表!P9)</f>
        <v>-1143803</v>
      </c>
      <c r="G11" s="98"/>
      <c r="H11" s="3">
        <f>SUM([1]季度簡明合併損益表!R9,[1]季度簡明合併損益表!T9,[1]季度簡明合併損益表!V9,[1]季度簡明合併損益表!X9)</f>
        <v>-1196463</v>
      </c>
      <c r="I11" s="98"/>
      <c r="J11" s="96">
        <f>B11/D11-1</f>
        <v>-2.5374481576662777E-2</v>
      </c>
    </row>
    <row r="12" spans="1:10">
      <c r="A12" s="52" t="s">
        <v>15</v>
      </c>
      <c r="B12" s="9">
        <f>SUM(B9:B11)</f>
        <v>-1624234</v>
      </c>
      <c r="C12" s="99"/>
      <c r="D12" s="9">
        <f>SUM([1]季度簡明合併損益表!B10,[1]季度簡明合併損益表!D10,[1]季度簡明合併損益表!F10,[1]季度簡明合併損益表!H10)</f>
        <v>-1727775</v>
      </c>
      <c r="E12" s="99"/>
      <c r="F12" s="9">
        <f>SUM([1]季度簡明合併損益表!J10,[1]季度簡明合併損益表!L10,[1]季度簡明合併損益表!N10,[1]季度簡明合併損益表!P10)</f>
        <v>-1823958</v>
      </c>
      <c r="G12" s="99"/>
      <c r="H12" s="9">
        <f>SUM([1]季度簡明合併損益表!R10,[1]季度簡明合併損益表!T10,[1]季度簡明合併損益表!V10,[1]季度簡明合併損益表!X10)</f>
        <v>-1858004</v>
      </c>
      <c r="I12" s="99"/>
      <c r="J12" s="96">
        <f>B12/D12-1</f>
        <v>-5.9927363227272101E-2</v>
      </c>
    </row>
    <row r="13" spans="1:10">
      <c r="A13" s="51" t="s">
        <v>153</v>
      </c>
      <c r="B13" s="3">
        <f>B7+B12</f>
        <v>-377893</v>
      </c>
      <c r="C13" s="108">
        <f>B13/B5</f>
        <v>-0.11112068417969714</v>
      </c>
      <c r="D13" s="3">
        <f>SUM([1]季度簡明合併損益表!B11,[1]季度簡明合併損益表!D11,[1]季度簡明合併損益表!F11,[1]季度簡明合併損益表!H11)</f>
        <v>-223126</v>
      </c>
      <c r="E13" s="108">
        <f>D13/D5</f>
        <v>-6.1440255006549468E-2</v>
      </c>
      <c r="F13" s="3">
        <f>SUM([1]季度簡明合併損益表!J11,[1]季度簡明合併損益表!L11,[1]季度簡明合併損益表!N11,[1]季度簡明合併損益表!P11)</f>
        <v>238441</v>
      </c>
      <c r="G13" s="98">
        <f>F13/F5</f>
        <v>5.1306377013359099E-2</v>
      </c>
      <c r="H13" s="3">
        <f>SUM([1]季度簡明合併損益表!R11,[1]季度簡明合併損益表!T11,[1]季度簡明合併損益表!V11,[1]季度簡明合併損益表!X11)</f>
        <v>20205</v>
      </c>
      <c r="I13" s="98">
        <f>H13/H5</f>
        <v>4.8621324944941556E-3</v>
      </c>
      <c r="J13" s="96">
        <f>B13/D13-1</f>
        <v>0.69363050473723376</v>
      </c>
    </row>
    <row r="14" spans="1:10">
      <c r="A14" s="52" t="s">
        <v>155</v>
      </c>
      <c r="B14" s="7">
        <f>季度簡明合併損益表!D12+季度簡明合併損益表!F12+季度簡明合併損益表!H12+季度簡明合併損益表!J12</f>
        <v>-248672</v>
      </c>
      <c r="C14" s="98"/>
      <c r="D14" s="7">
        <f>SUM([1]季度簡明合併損益表!B12,[1]季度簡明合併損益表!D12,[1]季度簡明合併損益表!F12,[1]季度簡明合併損益表!H12)</f>
        <v>132782</v>
      </c>
      <c r="E14" s="98"/>
      <c r="F14" s="7">
        <f>SUM([1]季度簡明合併損益表!J12,[1]季度簡明合併損益表!L12,[1]季度簡明合併損益表!N12,[1]季度簡明合併損益表!P12)</f>
        <v>74215</v>
      </c>
      <c r="G14" s="98"/>
      <c r="H14" s="7">
        <f>SUM([1]季度簡明合併損益表!R12,[1]季度簡明合併損益表!T12,[1]季度簡明合併損益表!V12,[1]季度簡明合併損益表!X12)</f>
        <v>983449</v>
      </c>
      <c r="I14" s="98"/>
      <c r="J14" s="96" t="s">
        <v>154</v>
      </c>
    </row>
    <row r="15" spans="1:10">
      <c r="A15" s="52" t="s">
        <v>156</v>
      </c>
      <c r="B15" s="7">
        <f>季度簡明合併損益表!D13+季度簡明合併損益表!F13+季度簡明合併損益表!H13+季度簡明合併損益表!J13</f>
        <v>-626565</v>
      </c>
      <c r="C15" s="98"/>
      <c r="D15" s="3">
        <f>SUM([1]季度簡明合併損益表!B13,[1]季度簡明合併損益表!D13,[1]季度簡明合併損益表!F13,[1]季度簡明合併損益表!H13)</f>
        <v>-90344</v>
      </c>
      <c r="E15" s="98"/>
      <c r="F15" s="3">
        <f>SUM([1]季度簡明合併損益表!J13,[1]季度簡明合併損益表!L13,[1]季度簡明合併損益表!N13,[1]季度簡明合併損益表!P13)</f>
        <v>312656</v>
      </c>
      <c r="G15" s="98"/>
      <c r="H15" s="3">
        <f>SUM([1]季度簡明合併損益表!R13,[1]季度簡明合併損益表!T13,[1]季度簡明合併損益表!V13,[1]季度簡明合併損益表!X13)</f>
        <v>1003654</v>
      </c>
      <c r="I15" s="98"/>
      <c r="J15" s="96">
        <f>B15/D15-1</f>
        <v>5.9353249800761532</v>
      </c>
    </row>
    <row r="16" spans="1:10">
      <c r="A16" s="52" t="s">
        <v>157</v>
      </c>
      <c r="B16" s="7">
        <f>季度簡明合併損益表!D14+季度簡明合併損益表!F14+季度簡明合併損益表!H14+季度簡明合併損益表!J14</f>
        <v>51257</v>
      </c>
      <c r="C16" s="98"/>
      <c r="D16" s="3">
        <f>SUM([1]季度簡明合併損益表!B14,[1]季度簡明合併損益表!D14,[1]季度簡明合併損益表!F14,[1]季度簡明合併損益表!H14)</f>
        <v>4436</v>
      </c>
      <c r="E16" s="98"/>
      <c r="F16" s="3">
        <f>SUM([1]季度簡明合併損益表!J14,[1]季度簡明合併損益表!L14,[1]季度簡明合併損益表!N14,[1]季度簡明合併損益表!P14)</f>
        <v>-48006</v>
      </c>
      <c r="G16" s="98"/>
      <c r="H16" s="3">
        <f>SUM([1]季度簡明合併損益表!R14,[1]季度簡明合併損益表!T14,[1]季度簡明合併損益表!V14,[1]季度簡明合併損益表!X14)</f>
        <v>-112866</v>
      </c>
      <c r="I16" s="98"/>
      <c r="J16" s="96">
        <f>B16/D16-1</f>
        <v>10.55477908025248</v>
      </c>
    </row>
    <row r="17" spans="1:10">
      <c r="A17" s="53" t="s">
        <v>158</v>
      </c>
      <c r="B17" s="9">
        <f>B15+B16</f>
        <v>-575308</v>
      </c>
      <c r="C17" s="99"/>
      <c r="D17" s="9">
        <f>SUM([1]季度簡明合併損益表!B15,[1]季度簡明合併損益表!D15,[1]季度簡明合併損益表!F15,[1]季度簡明合併損益表!H15)</f>
        <v>-85908</v>
      </c>
      <c r="E17" s="99"/>
      <c r="F17" s="9">
        <f>SUM([1]季度簡明合併損益表!J15,[1]季度簡明合併損益表!L15,[1]季度簡明合併損益表!N15,[1]季度簡明合併損益表!P15)</f>
        <v>264650</v>
      </c>
      <c r="G17" s="99"/>
      <c r="H17" s="9">
        <f>SUM([1]季度簡明合併損益表!R15,[1]季度簡明合併損益表!T15,[1]季度簡明合併損益表!V15,[1]季度簡明合併損益表!X15)</f>
        <v>890788</v>
      </c>
      <c r="I17" s="99"/>
      <c r="J17" s="96">
        <f>B17/D17-1</f>
        <v>5.6967919169343952</v>
      </c>
    </row>
    <row r="18" spans="1:10">
      <c r="A18" s="52"/>
      <c r="B18" s="8"/>
      <c r="C18" s="98"/>
      <c r="D18" s="8"/>
      <c r="E18" s="98"/>
      <c r="F18" s="8"/>
      <c r="G18" s="98"/>
      <c r="H18" s="8"/>
      <c r="I18" s="98"/>
      <c r="J18" s="96"/>
    </row>
    <row r="19" spans="1:10">
      <c r="A19" s="1"/>
      <c r="B19" s="5"/>
      <c r="C19" s="98"/>
      <c r="D19" s="5"/>
      <c r="E19" s="98"/>
      <c r="F19" s="5"/>
      <c r="G19" s="98"/>
      <c r="H19" s="5"/>
      <c r="I19" s="98"/>
      <c r="J19" s="97"/>
    </row>
    <row r="20" spans="1:10">
      <c r="A20" s="52"/>
      <c r="B20" s="95">
        <f>季度簡明合併損益表!D18+季度簡明合併損益表!F18+季度簡明合併損益表!H18+季度簡明合併損益表!J18</f>
        <v>-1.95</v>
      </c>
      <c r="C20" s="98"/>
      <c r="D20" s="95">
        <f>SUM([1]季度簡明合併損益表!B18,[1]季度簡明合併損益表!D18,[1]季度簡明合併損益表!F18,[1]季度簡明合併損益表!H18)</f>
        <v>-0.29000000000000004</v>
      </c>
      <c r="E20" s="98"/>
      <c r="F20" s="95">
        <f>SUM([1]季度簡明合併損益表!J18,[1]季度簡明合併損益表!L18,[1]季度簡明合併損益表!N18,[1]季度簡明合併損益表!P18)</f>
        <v>0.9</v>
      </c>
      <c r="G20" s="98"/>
      <c r="H20" s="95">
        <f>SUM([1]季度簡明合併損益表!R18,[1]季度簡明合併損益表!T18,[1]季度簡明合併損益表!V18,[1]季度簡明合併損益表!X18)</f>
        <v>3.05</v>
      </c>
      <c r="I20" s="98"/>
      <c r="J20" s="97"/>
    </row>
    <row r="21" spans="1:10">
      <c r="A21" s="1"/>
      <c r="B21" s="10"/>
      <c r="C21" s="98"/>
      <c r="D21" s="10"/>
      <c r="E21" s="98"/>
      <c r="F21" s="10"/>
      <c r="G21" s="98"/>
      <c r="H21" s="10"/>
      <c r="I21" s="98"/>
      <c r="J21" s="100"/>
    </row>
  </sheetData>
  <mergeCells count="4">
    <mergeCell ref="D4:E4"/>
    <mergeCell ref="F4:G4"/>
    <mergeCell ref="H4:I4"/>
    <mergeCell ref="B4:C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21"/>
  <sheetViews>
    <sheetView zoomScaleNormal="100" workbookViewId="0">
      <selection activeCell="AW9" sqref="AW9"/>
    </sheetView>
  </sheetViews>
  <sheetFormatPr defaultColWidth="9" defaultRowHeight="15.75"/>
  <cols>
    <col min="1" max="1" width="26.375" style="1" bestFit="1" customWidth="1"/>
    <col min="2" max="2" width="14.375" style="1" customWidth="1"/>
    <col min="3" max="3" width="6.375" style="2" customWidth="1"/>
    <col min="4" max="4" width="14.375" style="1" customWidth="1"/>
    <col min="5" max="5" width="6.125" style="2" bestFit="1" customWidth="1"/>
    <col min="6" max="6" width="9.625" style="1" hidden="1" customWidth="1"/>
    <col min="7" max="7" width="6.125" style="2" hidden="1" customWidth="1"/>
    <col min="8" max="8" width="9.625" style="1" hidden="1" customWidth="1"/>
    <col min="9" max="9" width="6.125" style="2" hidden="1" customWidth="1"/>
    <col min="10" max="10" width="9.625" style="1" bestFit="1" customWidth="1"/>
    <col min="11" max="11" width="6.125" style="2" bestFit="1" customWidth="1"/>
    <col min="12" max="12" width="10.75" style="1" hidden="1" customWidth="1"/>
    <col min="13" max="13" width="6.125" style="2" hidden="1" customWidth="1"/>
    <col min="14" max="14" width="9.625" style="1" hidden="1" customWidth="1"/>
    <col min="15" max="15" width="6.125" style="2" hidden="1" customWidth="1"/>
    <col min="16" max="16" width="9.625" style="1" hidden="1" customWidth="1"/>
    <col min="17" max="17" width="6.125" style="2" hidden="1" customWidth="1"/>
    <col min="18" max="18" width="9.625" style="1" hidden="1" customWidth="1"/>
    <col min="19" max="19" width="6.125" style="2" hidden="1" customWidth="1"/>
    <col min="20" max="20" width="10.75" style="1" hidden="1" customWidth="1"/>
    <col min="21" max="21" width="6.125" style="2" hidden="1" customWidth="1"/>
    <col min="22" max="22" width="10.75" style="1" hidden="1" customWidth="1"/>
    <col min="23" max="23" width="6.125" style="2" hidden="1" customWidth="1"/>
    <col min="24" max="24" width="10.75" style="1" hidden="1" customWidth="1"/>
    <col min="25" max="25" width="6.125" style="2" hidden="1" customWidth="1"/>
    <col min="26" max="26" width="10.75" style="1" hidden="1" customWidth="1"/>
    <col min="27" max="27" width="6.125" style="2" hidden="1" customWidth="1"/>
    <col min="28" max="28" width="10.75" style="1" hidden="1" customWidth="1"/>
    <col min="29" max="29" width="6.125" style="2" hidden="1" customWidth="1"/>
    <col min="30" max="30" width="10.75" style="1" hidden="1" customWidth="1"/>
    <col min="31" max="31" width="6.125" style="2" hidden="1" customWidth="1"/>
    <col min="32" max="32" width="9.625" style="1" hidden="1" customWidth="1"/>
    <col min="33" max="33" width="6.125" style="2" hidden="1" customWidth="1"/>
    <col min="34" max="34" width="9.625" style="1" hidden="1" customWidth="1"/>
    <col min="35" max="35" width="6.125" style="2" hidden="1" customWidth="1"/>
    <col min="36" max="36" width="10.75" style="1" hidden="1" customWidth="1"/>
    <col min="37" max="37" width="6.125" style="2" hidden="1" customWidth="1"/>
    <col min="38" max="38" width="10.75" style="1" hidden="1" customWidth="1"/>
    <col min="39" max="39" width="6.125" style="2" hidden="1" customWidth="1"/>
    <col min="40" max="40" width="10.75" style="1" hidden="1" customWidth="1"/>
    <col min="41" max="41" width="6.125" style="2" hidden="1" customWidth="1"/>
    <col min="42" max="42" width="10.75" style="1" hidden="1" customWidth="1"/>
    <col min="43" max="43" width="6.125" style="2" hidden="1" customWidth="1"/>
    <col min="44" max="44" width="1.125" style="1" customWidth="1"/>
    <col min="45" max="45" width="6.125" style="1" bestFit="1" customWidth="1"/>
    <col min="46" max="46" width="10.375" style="1" customWidth="1"/>
    <col min="47" max="16384" width="9" style="1"/>
  </cols>
  <sheetData>
    <row r="1" spans="1:49" ht="82.5" customHeight="1"/>
    <row r="2" spans="1:49" ht="17.25" customHeight="1" thickBot="1">
      <c r="A2" s="50" t="s">
        <v>20</v>
      </c>
      <c r="B2" s="109" t="s">
        <v>160</v>
      </c>
      <c r="C2" s="110"/>
      <c r="D2" s="109" t="s">
        <v>145</v>
      </c>
      <c r="E2" s="110"/>
      <c r="F2" s="109" t="s">
        <v>143</v>
      </c>
      <c r="G2" s="110"/>
      <c r="H2" s="109" t="s">
        <v>140</v>
      </c>
      <c r="I2" s="110"/>
      <c r="J2" s="109" t="s">
        <v>137</v>
      </c>
      <c r="K2" s="110"/>
      <c r="L2" s="109" t="s">
        <v>124</v>
      </c>
      <c r="M2" s="110"/>
      <c r="N2" s="109" t="s">
        <v>122</v>
      </c>
      <c r="O2" s="110"/>
      <c r="P2" s="109" t="s">
        <v>116</v>
      </c>
      <c r="Q2" s="110"/>
      <c r="R2" s="109" t="s">
        <v>113</v>
      </c>
      <c r="S2" s="110"/>
      <c r="T2" s="109" t="s">
        <v>108</v>
      </c>
      <c r="U2" s="110"/>
      <c r="V2" s="109" t="s">
        <v>105</v>
      </c>
      <c r="W2" s="110"/>
      <c r="X2" s="109" t="s">
        <v>104</v>
      </c>
      <c r="Y2" s="110"/>
      <c r="Z2" s="109" t="s">
        <v>102</v>
      </c>
      <c r="AA2" s="110"/>
      <c r="AB2" s="109" t="s">
        <v>82</v>
      </c>
      <c r="AC2" s="110"/>
      <c r="AD2" s="109" t="s">
        <v>75</v>
      </c>
      <c r="AE2" s="110"/>
      <c r="AF2" s="109" t="s">
        <v>69</v>
      </c>
      <c r="AG2" s="110"/>
      <c r="AH2" s="109" t="s">
        <v>17</v>
      </c>
      <c r="AI2" s="110"/>
      <c r="AJ2" s="109" t="s">
        <v>19</v>
      </c>
      <c r="AK2" s="110"/>
      <c r="AL2" s="109" t="s">
        <v>76</v>
      </c>
      <c r="AM2" s="110"/>
      <c r="AN2" s="109" t="s">
        <v>70</v>
      </c>
      <c r="AO2" s="110"/>
      <c r="AP2" s="109" t="s">
        <v>18</v>
      </c>
      <c r="AQ2" s="110"/>
      <c r="AS2" s="76" t="s">
        <v>80</v>
      </c>
      <c r="AT2" s="76" t="s">
        <v>81</v>
      </c>
    </row>
    <row r="3" spans="1:49" ht="16.5">
      <c r="A3" s="51" t="s">
        <v>8</v>
      </c>
      <c r="B3" s="3">
        <v>754958</v>
      </c>
      <c r="C3" s="69">
        <v>1</v>
      </c>
      <c r="D3" s="3">
        <f>3400744-F3-H3-J3</f>
        <v>831494</v>
      </c>
      <c r="E3" s="69">
        <v>1</v>
      </c>
      <c r="F3" s="3">
        <v>790877</v>
      </c>
      <c r="G3" s="69">
        <v>1</v>
      </c>
      <c r="H3" s="3">
        <v>796637</v>
      </c>
      <c r="I3" s="69">
        <v>1</v>
      </c>
      <c r="J3" s="3">
        <v>981736</v>
      </c>
      <c r="K3" s="69">
        <v>1</v>
      </c>
      <c r="L3" s="3">
        <v>1110908</v>
      </c>
      <c r="M3" s="69">
        <v>1</v>
      </c>
      <c r="N3" s="3">
        <v>952310</v>
      </c>
      <c r="O3" s="69">
        <v>1</v>
      </c>
      <c r="P3" s="3">
        <v>658485</v>
      </c>
      <c r="Q3" s="69">
        <v>1</v>
      </c>
      <c r="R3" s="3">
        <v>909890</v>
      </c>
      <c r="S3" s="69">
        <v>1</v>
      </c>
      <c r="T3" s="3">
        <v>1126645</v>
      </c>
      <c r="U3" s="69">
        <v>1</v>
      </c>
      <c r="V3" s="3">
        <v>1395830</v>
      </c>
      <c r="W3" s="69">
        <v>1</v>
      </c>
      <c r="X3" s="3">
        <v>1016890</v>
      </c>
      <c r="Y3" s="69">
        <v>1</v>
      </c>
      <c r="Z3" s="3">
        <v>1108030</v>
      </c>
      <c r="AA3" s="69">
        <v>1</v>
      </c>
      <c r="AB3" s="3">
        <v>1280595</v>
      </c>
      <c r="AC3" s="69">
        <v>1</v>
      </c>
      <c r="AD3" s="3">
        <v>1058707</v>
      </c>
      <c r="AE3" s="69">
        <v>1</v>
      </c>
      <c r="AF3" s="3">
        <v>955183</v>
      </c>
      <c r="AG3" s="69">
        <v>1</v>
      </c>
      <c r="AH3" s="3">
        <v>861099</v>
      </c>
      <c r="AI3" s="4">
        <v>1</v>
      </c>
      <c r="AJ3" s="3">
        <v>1184085</v>
      </c>
      <c r="AK3" s="4">
        <v>1</v>
      </c>
      <c r="AL3" s="3">
        <v>1221942</v>
      </c>
      <c r="AM3" s="4">
        <v>1</v>
      </c>
      <c r="AN3" s="3">
        <v>1291208</v>
      </c>
      <c r="AO3" s="4">
        <v>1</v>
      </c>
      <c r="AP3" s="3">
        <v>1425353</v>
      </c>
      <c r="AQ3" s="4">
        <v>1</v>
      </c>
      <c r="AS3" s="4">
        <f>B3/D3-1</f>
        <v>-9.2046364736245834E-2</v>
      </c>
      <c r="AT3" s="4">
        <f>B3/J3-1</f>
        <v>-0.23099692789100124</v>
      </c>
    </row>
    <row r="4" spans="1:49">
      <c r="A4" s="52" t="s">
        <v>9</v>
      </c>
      <c r="B4" s="9">
        <v>-548520</v>
      </c>
      <c r="C4" s="69"/>
      <c r="D4" s="9">
        <f>-2154403-F4-H4-J4</f>
        <v>-533706</v>
      </c>
      <c r="E4" s="69"/>
      <c r="F4" s="9">
        <v>-506611</v>
      </c>
      <c r="G4" s="69"/>
      <c r="H4" s="9">
        <v>-500846</v>
      </c>
      <c r="I4" s="69"/>
      <c r="J4" s="9">
        <v>-613240</v>
      </c>
      <c r="K4" s="69"/>
      <c r="L4" s="9">
        <v>-646306</v>
      </c>
      <c r="M4" s="69"/>
      <c r="N4" s="9">
        <v>-547225</v>
      </c>
      <c r="O4" s="69"/>
      <c r="P4" s="9">
        <v>-403323</v>
      </c>
      <c r="Q4" s="69"/>
      <c r="R4" s="9">
        <v>-530090</v>
      </c>
      <c r="S4" s="69"/>
      <c r="T4" s="9">
        <f>-2584996-(V4+X4+Z4)</f>
        <v>-685726</v>
      </c>
      <c r="U4" s="69"/>
      <c r="V4" s="9">
        <v>-798154</v>
      </c>
      <c r="W4" s="69"/>
      <c r="X4" s="9">
        <v>-542663</v>
      </c>
      <c r="Y4" s="69"/>
      <c r="Z4" s="9">
        <v>-558453</v>
      </c>
      <c r="AA4" s="69"/>
      <c r="AB4" s="9">
        <v>-667492</v>
      </c>
      <c r="AC4" s="69"/>
      <c r="AD4" s="9">
        <v>-617622</v>
      </c>
      <c r="AE4" s="69"/>
      <c r="AF4" s="9">
        <v>-519202</v>
      </c>
      <c r="AG4" s="69"/>
      <c r="AH4" s="9">
        <v>-473059</v>
      </c>
      <c r="AI4" s="4"/>
      <c r="AJ4" s="9">
        <f>-2699563+2045465</f>
        <v>-654098</v>
      </c>
      <c r="AK4" s="4"/>
      <c r="AL4" s="9">
        <v>-648046</v>
      </c>
      <c r="AM4" s="4"/>
      <c r="AN4" s="9">
        <v>-664188</v>
      </c>
      <c r="AO4" s="4"/>
      <c r="AP4" s="9">
        <v>-733231</v>
      </c>
      <c r="AQ4" s="4"/>
      <c r="AS4" s="4">
        <f t="shared" ref="AS4:AS5" si="0">B4/D4-1</f>
        <v>2.7756854897640348E-2</v>
      </c>
      <c r="AT4" s="4">
        <f>B4/J4-1</f>
        <v>-0.1055377992303177</v>
      </c>
    </row>
    <row r="5" spans="1:49" ht="16.5">
      <c r="A5" s="51" t="s">
        <v>10</v>
      </c>
      <c r="B5" s="93">
        <f>B3+B4</f>
        <v>206438</v>
      </c>
      <c r="C5" s="4">
        <f>B5/B3</f>
        <v>0.27344302596965658</v>
      </c>
      <c r="D5" s="93">
        <f>D3+D4</f>
        <v>297788</v>
      </c>
      <c r="E5" s="4">
        <f>D5/D3</f>
        <v>0.35813607795125402</v>
      </c>
      <c r="F5" s="93">
        <f>F3+F4</f>
        <v>284266</v>
      </c>
      <c r="G5" s="4">
        <f>F5/F3</f>
        <v>0.35943136543356302</v>
      </c>
      <c r="H5" s="93">
        <f>H3+H4</f>
        <v>295791</v>
      </c>
      <c r="I5" s="4">
        <f>H5/H3</f>
        <v>0.37129960069642759</v>
      </c>
      <c r="J5" s="93">
        <f>J3+J4</f>
        <v>368496</v>
      </c>
      <c r="K5" s="4">
        <f>J5/J3</f>
        <v>0.37535141830390245</v>
      </c>
      <c r="L5" s="93">
        <f>L3+L4</f>
        <v>464602</v>
      </c>
      <c r="M5" s="4">
        <f>L5/L3</f>
        <v>0.41821825029615411</v>
      </c>
      <c r="N5" s="93">
        <f>N3+N4</f>
        <v>405085</v>
      </c>
      <c r="O5" s="4">
        <f>N5/N3</f>
        <v>0.42537094013504007</v>
      </c>
      <c r="P5" s="93">
        <f>P3+P4</f>
        <v>255162</v>
      </c>
      <c r="Q5" s="4">
        <f>P5/P3</f>
        <v>0.38749857627736395</v>
      </c>
      <c r="R5" s="9">
        <f>R3+R4</f>
        <v>379800</v>
      </c>
      <c r="S5" s="4">
        <f>R5/R3</f>
        <v>0.41741309389047027</v>
      </c>
      <c r="T5" s="9">
        <f>T3+T4</f>
        <v>440919</v>
      </c>
      <c r="U5" s="4">
        <f>T5/T3</f>
        <v>0.39135575092420416</v>
      </c>
      <c r="V5" s="9">
        <f>V3+V4</f>
        <v>597676</v>
      </c>
      <c r="W5" s="4">
        <f>V5/V3</f>
        <v>0.42818681358045035</v>
      </c>
      <c r="X5" s="9">
        <f>X3+X4</f>
        <v>474227</v>
      </c>
      <c r="Y5" s="4">
        <f>X5/X3</f>
        <v>0.46635034271160108</v>
      </c>
      <c r="Z5" s="9">
        <f>Z3+Z4</f>
        <v>549577</v>
      </c>
      <c r="AA5" s="4">
        <f>Z5/Z3</f>
        <v>0.49599469328447787</v>
      </c>
      <c r="AB5" s="9">
        <f>AB3+AB4</f>
        <v>613103</v>
      </c>
      <c r="AC5" s="4">
        <f>AB5/AB3</f>
        <v>0.47876416821867962</v>
      </c>
      <c r="AD5" s="9">
        <f>AD3+AD4</f>
        <v>441085</v>
      </c>
      <c r="AE5" s="69">
        <f>AD5/AD3</f>
        <v>0.41662612979795166</v>
      </c>
      <c r="AF5" s="9">
        <f>AF3+AF4</f>
        <v>435981</v>
      </c>
      <c r="AG5" s="89">
        <f>AF5/AF3</f>
        <v>0.45643714345837394</v>
      </c>
      <c r="AH5" s="9">
        <f>AH3+AH4</f>
        <v>388040</v>
      </c>
      <c r="AI5" s="4">
        <f>AH5/AH3</f>
        <v>0.4506334347154044</v>
      </c>
      <c r="AJ5" s="9">
        <f>AJ3+AJ4</f>
        <v>529987</v>
      </c>
      <c r="AK5" s="4">
        <f>AJ5/AJ3</f>
        <v>0.44759202253216618</v>
      </c>
      <c r="AL5" s="9">
        <f>AL3+AL4</f>
        <v>573896</v>
      </c>
      <c r="AM5" s="4">
        <f>AL5/AL3</f>
        <v>0.46965895271625002</v>
      </c>
      <c r="AN5" s="9">
        <f>AN3+AN4</f>
        <v>627020</v>
      </c>
      <c r="AO5" s="4">
        <f>AN5/AN3</f>
        <v>0.48560727628701184</v>
      </c>
      <c r="AP5" s="9">
        <f>AP3+AP4</f>
        <v>692122</v>
      </c>
      <c r="AQ5" s="4">
        <f>AP5/AP3</f>
        <v>0.48557936174407323</v>
      </c>
      <c r="AS5" s="4">
        <f t="shared" si="0"/>
        <v>-0.30676185742877482</v>
      </c>
      <c r="AT5" s="4">
        <f t="shared" ref="AT4:AT5" si="1">B5/J5-1</f>
        <v>-0.43978225001085491</v>
      </c>
    </row>
    <row r="6" spans="1:49">
      <c r="A6" s="52" t="s">
        <v>11</v>
      </c>
      <c r="B6" s="7"/>
      <c r="C6" s="69"/>
      <c r="D6" s="7"/>
      <c r="E6" s="69"/>
      <c r="F6" s="7"/>
      <c r="G6" s="69"/>
      <c r="H6" s="7"/>
      <c r="I6" s="69"/>
      <c r="J6" s="7"/>
      <c r="K6" s="69"/>
      <c r="L6" s="7"/>
      <c r="M6" s="69"/>
      <c r="N6" s="7"/>
      <c r="O6" s="69"/>
      <c r="P6" s="7"/>
      <c r="Q6" s="69"/>
      <c r="R6" s="7"/>
      <c r="S6" s="69"/>
      <c r="T6" s="7"/>
      <c r="U6" s="69"/>
      <c r="V6" s="7"/>
      <c r="W6" s="69"/>
      <c r="X6" s="7"/>
      <c r="Y6" s="69"/>
      <c r="Z6" s="7"/>
      <c r="AA6" s="69"/>
      <c r="AB6" s="7"/>
      <c r="AC6" s="69"/>
      <c r="AD6" s="7"/>
      <c r="AE6" s="69"/>
      <c r="AF6" s="7"/>
      <c r="AG6" s="69"/>
      <c r="AH6" s="7"/>
      <c r="AI6" s="4"/>
      <c r="AJ6" s="7"/>
      <c r="AK6" s="4"/>
      <c r="AL6" s="7"/>
      <c r="AM6" s="4"/>
      <c r="AN6" s="7"/>
      <c r="AO6" s="4"/>
      <c r="AP6" s="7"/>
      <c r="AQ6" s="4"/>
      <c r="AS6" s="4"/>
      <c r="AT6" s="4"/>
    </row>
    <row r="7" spans="1:49">
      <c r="A7" s="52" t="s">
        <v>12</v>
      </c>
      <c r="B7" s="3">
        <v>-44639</v>
      </c>
      <c r="C7" s="69"/>
      <c r="D7" s="3">
        <f>-239486-F7-H7-J7</f>
        <v>-42784</v>
      </c>
      <c r="E7" s="69"/>
      <c r="F7" s="3">
        <v>-58266</v>
      </c>
      <c r="G7" s="69"/>
      <c r="H7" s="3">
        <v>-67483</v>
      </c>
      <c r="I7" s="69"/>
      <c r="J7" s="3">
        <v>-70953</v>
      </c>
      <c r="K7" s="69"/>
      <c r="L7" s="3">
        <v>-74961</v>
      </c>
      <c r="M7" s="69"/>
      <c r="N7" s="3">
        <f>-73794</f>
        <v>-73794</v>
      </c>
      <c r="O7" s="69"/>
      <c r="P7" s="3">
        <v>-60269</v>
      </c>
      <c r="Q7" s="69"/>
      <c r="R7" s="3">
        <v>-65640</v>
      </c>
      <c r="S7" s="69"/>
      <c r="T7" s="3">
        <f>-357865-(V7+X7+Z7)</f>
        <v>-85182</v>
      </c>
      <c r="U7" s="69"/>
      <c r="V7" s="3">
        <v>-104663</v>
      </c>
      <c r="W7" s="69"/>
      <c r="X7" s="3">
        <v>-80635</v>
      </c>
      <c r="Y7" s="69"/>
      <c r="Z7" s="3">
        <v>-87385</v>
      </c>
      <c r="AA7" s="69"/>
      <c r="AB7" s="3">
        <f>-258312+173702</f>
        <v>-84610</v>
      </c>
      <c r="AC7" s="69"/>
      <c r="AD7" s="3">
        <f>-77798+14935</f>
        <v>-62863</v>
      </c>
      <c r="AE7" s="69"/>
      <c r="AF7" s="3">
        <v>-38651</v>
      </c>
      <c r="AG7" s="69"/>
      <c r="AH7" s="3">
        <v>-72188</v>
      </c>
      <c r="AI7" s="4"/>
      <c r="AJ7" s="3">
        <f>-299442+226501</f>
        <v>-72941</v>
      </c>
      <c r="AK7" s="4"/>
      <c r="AL7" s="3">
        <v>-69462</v>
      </c>
      <c r="AM7" s="4"/>
      <c r="AN7" s="3">
        <v>-73485</v>
      </c>
      <c r="AO7" s="4"/>
      <c r="AP7" s="3">
        <v>-83554</v>
      </c>
      <c r="AQ7" s="4"/>
      <c r="AS7" s="4">
        <f>B7/D7-1</f>
        <v>4.3357329842931946E-2</v>
      </c>
      <c r="AT7" s="4">
        <f>B7/J7-1</f>
        <v>-0.37086522063901461</v>
      </c>
    </row>
    <row r="8" spans="1:49">
      <c r="A8" s="52" t="s">
        <v>13</v>
      </c>
      <c r="B8" s="3">
        <v>-61974</v>
      </c>
      <c r="C8" s="69"/>
      <c r="D8" s="3">
        <f>-255350-F8-H8-J8</f>
        <v>-65048</v>
      </c>
      <c r="E8" s="69"/>
      <c r="F8" s="3">
        <v>-64537</v>
      </c>
      <c r="G8" s="69"/>
      <c r="H8" s="3">
        <v>-60767</v>
      </c>
      <c r="I8" s="69"/>
      <c r="J8" s="3">
        <v>-64998</v>
      </c>
      <c r="K8" s="69"/>
      <c r="L8" s="3">
        <v>-80371</v>
      </c>
      <c r="M8" s="69"/>
      <c r="N8" s="3">
        <f>-66866</f>
        <v>-66866</v>
      </c>
      <c r="O8" s="69"/>
      <c r="P8" s="3">
        <v>-76032</v>
      </c>
      <c r="Q8" s="69"/>
      <c r="R8" s="3">
        <v>-71040</v>
      </c>
      <c r="S8" s="69"/>
      <c r="T8" s="3">
        <f>-322290-(V8+X8+Z8)</f>
        <v>-81377</v>
      </c>
      <c r="U8" s="69"/>
      <c r="V8" s="3">
        <v>-78543</v>
      </c>
      <c r="W8" s="69"/>
      <c r="X8" s="3">
        <v>-73340</v>
      </c>
      <c r="Y8" s="69"/>
      <c r="Z8" s="3">
        <v>-89030</v>
      </c>
      <c r="AA8" s="69"/>
      <c r="AB8" s="3">
        <v>-125653</v>
      </c>
      <c r="AC8" s="69"/>
      <c r="AD8" s="3">
        <v>-100274</v>
      </c>
      <c r="AE8" s="69"/>
      <c r="AF8" s="3">
        <v>-99303</v>
      </c>
      <c r="AG8" s="69"/>
      <c r="AH8" s="3">
        <v>-77999</v>
      </c>
      <c r="AI8" s="4"/>
      <c r="AJ8" s="3">
        <f>-269286+203485</f>
        <v>-65801</v>
      </c>
      <c r="AK8" s="4"/>
      <c r="AL8" s="3">
        <v>-66733</v>
      </c>
      <c r="AM8" s="4"/>
      <c r="AN8" s="3">
        <v>-67142</v>
      </c>
      <c r="AO8" s="4"/>
      <c r="AP8" s="3">
        <v>-69610</v>
      </c>
      <c r="AQ8" s="4"/>
      <c r="AS8" s="4">
        <f t="shared" ref="AS8:AS9" si="2">B8/D8-1</f>
        <v>-4.7257409912679904E-2</v>
      </c>
      <c r="AT8" s="4">
        <f t="shared" ref="AT8:AT9" si="3">B8/J8-1</f>
        <v>-4.6524508446413759E-2</v>
      </c>
    </row>
    <row r="9" spans="1:49">
      <c r="A9" s="52" t="s">
        <v>14</v>
      </c>
      <c r="B9" s="3">
        <v>-242593</v>
      </c>
      <c r="C9" s="69"/>
      <c r="D9" s="3">
        <f>-1129398-F9-H9-J9</f>
        <v>-273562</v>
      </c>
      <c r="E9" s="69"/>
      <c r="F9" s="3">
        <v>-275602</v>
      </c>
      <c r="G9" s="69"/>
      <c r="H9" s="3">
        <v>-298239</v>
      </c>
      <c r="I9" s="69"/>
      <c r="J9" s="3">
        <v>-281995</v>
      </c>
      <c r="K9" s="69"/>
      <c r="L9" s="3">
        <v>-307904</v>
      </c>
      <c r="M9" s="69"/>
      <c r="N9" s="3">
        <f>-303392</f>
        <v>-303392</v>
      </c>
      <c r="O9" s="69"/>
      <c r="P9" s="3">
        <v>-286553</v>
      </c>
      <c r="Q9" s="69"/>
      <c r="R9" s="3">
        <v>-260953</v>
      </c>
      <c r="S9" s="69"/>
      <c r="T9" s="3">
        <f>-1143803-(V9+X9+Z9)</f>
        <v>-272407</v>
      </c>
      <c r="U9" s="69"/>
      <c r="V9" s="3">
        <v>-291762</v>
      </c>
      <c r="W9" s="69"/>
      <c r="X9" s="3">
        <v>-278005</v>
      </c>
      <c r="Y9" s="69"/>
      <c r="Z9" s="3">
        <v>-301629</v>
      </c>
      <c r="AA9" s="69"/>
      <c r="AB9" s="3">
        <f>-1196463+863270</f>
        <v>-333193</v>
      </c>
      <c r="AC9" s="69"/>
      <c r="AD9" s="3">
        <f>-275668-14935</f>
        <v>-290603</v>
      </c>
      <c r="AE9" s="69"/>
      <c r="AF9" s="3">
        <v>-265858</v>
      </c>
      <c r="AG9" s="69"/>
      <c r="AH9" s="3">
        <v>-306809</v>
      </c>
      <c r="AI9" s="4"/>
      <c r="AJ9" s="3">
        <f>-921277+700283</f>
        <v>-220994</v>
      </c>
      <c r="AK9" s="4"/>
      <c r="AL9" s="3">
        <v>-226246</v>
      </c>
      <c r="AM9" s="4"/>
      <c r="AN9" s="3">
        <v>-235303</v>
      </c>
      <c r="AO9" s="4"/>
      <c r="AP9" s="3">
        <v>-238734</v>
      </c>
      <c r="AQ9" s="4"/>
      <c r="AS9" s="4">
        <f t="shared" si="2"/>
        <v>-0.11320651260043424</v>
      </c>
      <c r="AT9" s="4">
        <f t="shared" si="3"/>
        <v>-0.13972588166456856</v>
      </c>
    </row>
    <row r="10" spans="1:49">
      <c r="A10" s="52" t="s">
        <v>15</v>
      </c>
      <c r="B10" s="9">
        <f>SUM(B7:B9)</f>
        <v>-349206</v>
      </c>
      <c r="C10" s="4"/>
      <c r="D10" s="9">
        <f>SUM(D7:D9)</f>
        <v>-381394</v>
      </c>
      <c r="E10" s="4"/>
      <c r="F10" s="9">
        <f>SUM(F7:F9)</f>
        <v>-398405</v>
      </c>
      <c r="G10" s="4"/>
      <c r="H10" s="9">
        <f>SUM(H7:H9)</f>
        <v>-426489</v>
      </c>
      <c r="I10" s="4"/>
      <c r="J10" s="9">
        <f>SUM(J7:J9)</f>
        <v>-417946</v>
      </c>
      <c r="K10" s="4"/>
      <c r="L10" s="9">
        <f>SUM(L7:L9)</f>
        <v>-463236</v>
      </c>
      <c r="M10" s="4"/>
      <c r="N10" s="9">
        <f>SUM(N7:N9)</f>
        <v>-444052</v>
      </c>
      <c r="O10" s="4"/>
      <c r="P10" s="9">
        <f>SUM(P7:P9)</f>
        <v>-422854</v>
      </c>
      <c r="Q10" s="4"/>
      <c r="R10" s="9">
        <f>SUM(R7:R9)</f>
        <v>-397633</v>
      </c>
      <c r="S10" s="4"/>
      <c r="T10" s="9">
        <f>SUM(T7:T9)</f>
        <v>-438966</v>
      </c>
      <c r="U10" s="4"/>
      <c r="V10" s="9">
        <f>SUM(V7:V9)</f>
        <v>-474968</v>
      </c>
      <c r="W10" s="4"/>
      <c r="X10" s="9">
        <f>SUM(X7:X9)</f>
        <v>-431980</v>
      </c>
      <c r="Y10" s="4"/>
      <c r="Z10" s="9">
        <f>SUM(Z7:Z9)</f>
        <v>-478044</v>
      </c>
      <c r="AA10" s="69"/>
      <c r="AB10" s="9">
        <f>SUM(AB7:AB9)</f>
        <v>-543456</v>
      </c>
      <c r="AC10" s="69"/>
      <c r="AD10" s="9">
        <f>SUM(AD7:AD9)</f>
        <v>-453740</v>
      </c>
      <c r="AE10" s="69">
        <f>AD10/AD3</f>
        <v>-0.42857938976506249</v>
      </c>
      <c r="AF10" s="9">
        <f>SUM(AF7:AF9)</f>
        <v>-403812</v>
      </c>
      <c r="AG10" s="69"/>
      <c r="AH10" s="9">
        <f>SUM(AH7:AH9)</f>
        <v>-456996</v>
      </c>
      <c r="AI10" s="4">
        <f>AH10/AH3</f>
        <v>-0.53071249647253105</v>
      </c>
      <c r="AJ10" s="9">
        <f>SUM(AJ7:AJ9)</f>
        <v>-359736</v>
      </c>
      <c r="AK10" s="4">
        <f>AJ10/AJ3</f>
        <v>-0.30380927044933431</v>
      </c>
      <c r="AL10" s="9">
        <f>SUM(AL7:AL9)</f>
        <v>-362441</v>
      </c>
      <c r="AM10" s="4">
        <f>AL10/AL3</f>
        <v>-0.29661064109425817</v>
      </c>
      <c r="AN10" s="9">
        <f>SUM(AN7:AN9)</f>
        <v>-375930</v>
      </c>
      <c r="AO10" s="4">
        <f>AN10/AN3</f>
        <v>-0.29114596563837897</v>
      </c>
      <c r="AP10" s="9">
        <f>SUM(AP7:AP9)</f>
        <v>-391898</v>
      </c>
      <c r="AQ10" s="4">
        <f>AP10/AP3</f>
        <v>-0.27494803041772808</v>
      </c>
      <c r="AS10" s="4">
        <f>B10/D10-1</f>
        <v>-8.4395664326129882E-2</v>
      </c>
      <c r="AT10" s="4">
        <f>B10/J10-1</f>
        <v>-0.16447100821637251</v>
      </c>
      <c r="AW10" s="88"/>
    </row>
    <row r="11" spans="1:49" ht="16.5">
      <c r="A11" s="51" t="s">
        <v>131</v>
      </c>
      <c r="B11" s="3">
        <f>B5+B10</f>
        <v>-142768</v>
      </c>
      <c r="C11" s="69">
        <f>B11/B3</f>
        <v>-0.18910720861292946</v>
      </c>
      <c r="D11" s="3">
        <f>D5+D10</f>
        <v>-83606</v>
      </c>
      <c r="E11" s="69">
        <f>D11/D3</f>
        <v>-0.10054913204424806</v>
      </c>
      <c r="F11" s="3">
        <f>F5+F10</f>
        <v>-114139</v>
      </c>
      <c r="G11" s="69">
        <f>F11/F3</f>
        <v>-0.14431953388453578</v>
      </c>
      <c r="H11" s="3">
        <f>H5+H10</f>
        <v>-130698</v>
      </c>
      <c r="I11" s="69">
        <f>H11/H3</f>
        <v>-0.16406217637393192</v>
      </c>
      <c r="J11" s="3">
        <f>J5+J10</f>
        <v>-49450</v>
      </c>
      <c r="K11" s="69">
        <f>J11/J3</f>
        <v>-5.0369956892688056E-2</v>
      </c>
      <c r="L11" s="3">
        <f>L5+L10</f>
        <v>1366</v>
      </c>
      <c r="M11" s="69">
        <f>L11/L3</f>
        <v>1.2296247754089449E-3</v>
      </c>
      <c r="N11" s="3">
        <f>N5+N10</f>
        <v>-38967</v>
      </c>
      <c r="O11" s="69">
        <f>N11/N3</f>
        <v>-4.0918398420682338E-2</v>
      </c>
      <c r="P11" s="3">
        <f>P5+P10</f>
        <v>-167692</v>
      </c>
      <c r="Q11" s="69">
        <f>P11/P3-0.01</f>
        <v>-0.26466335603696367</v>
      </c>
      <c r="R11" s="3">
        <f>R5+R10</f>
        <v>-17833</v>
      </c>
      <c r="S11" s="69">
        <f>R11/R3</f>
        <v>-1.9599072415346912E-2</v>
      </c>
      <c r="T11" s="3">
        <f>T5+T10</f>
        <v>1953</v>
      </c>
      <c r="U11" s="69">
        <f>T11/T3</f>
        <v>1.7334652885336553E-3</v>
      </c>
      <c r="V11" s="3">
        <f>V5+V10</f>
        <v>122708</v>
      </c>
      <c r="W11" s="69">
        <f>V11/V3</f>
        <v>8.791041889055258E-2</v>
      </c>
      <c r="X11" s="3">
        <f>X5+X10</f>
        <v>42247</v>
      </c>
      <c r="Y11" s="69">
        <f>X11/X3</f>
        <v>4.1545299884943307E-2</v>
      </c>
      <c r="Z11" s="3">
        <f>Z5+Z10</f>
        <v>71533</v>
      </c>
      <c r="AA11" s="69">
        <f>Z11/Z3</f>
        <v>6.4558721334259897E-2</v>
      </c>
      <c r="AB11" s="3">
        <f t="shared" ref="AB11:AJ11" si="4">AB5+AB10</f>
        <v>69647</v>
      </c>
      <c r="AC11" s="69">
        <f>AB11/AB3</f>
        <v>5.4386437554418063E-2</v>
      </c>
      <c r="AD11" s="3">
        <f t="shared" si="4"/>
        <v>-12655</v>
      </c>
      <c r="AE11" s="69">
        <f t="shared" si="4"/>
        <v>-1.195325996711083E-2</v>
      </c>
      <c r="AF11" s="3">
        <f t="shared" si="4"/>
        <v>32169</v>
      </c>
      <c r="AG11" s="69">
        <f>AF11/AF3</f>
        <v>3.3678363203700233E-2</v>
      </c>
      <c r="AH11" s="3">
        <f t="shared" si="4"/>
        <v>-68956</v>
      </c>
      <c r="AI11" s="70">
        <f t="shared" si="4"/>
        <v>-8.0079061757126646E-2</v>
      </c>
      <c r="AJ11" s="3">
        <f t="shared" si="4"/>
        <v>170251</v>
      </c>
      <c r="AK11" s="4"/>
      <c r="AL11" s="3">
        <f>AL5+AL10</f>
        <v>211455</v>
      </c>
      <c r="AM11" s="69">
        <f>AM5+AM10</f>
        <v>0.17304831162199186</v>
      </c>
      <c r="AN11" s="3">
        <f>AN5+AN10</f>
        <v>251090</v>
      </c>
      <c r="AO11" s="69">
        <f>AO5+AO10</f>
        <v>0.19446131064863287</v>
      </c>
      <c r="AP11" s="3">
        <f>AP5+AP10</f>
        <v>300224</v>
      </c>
      <c r="AQ11" s="4"/>
      <c r="AS11" s="4">
        <f>B11/D11-1</f>
        <v>0.70762863909288809</v>
      </c>
      <c r="AT11" s="4">
        <f>B11/J11-1</f>
        <v>1.8871183013144592</v>
      </c>
      <c r="AU11" s="78"/>
    </row>
    <row r="12" spans="1:49">
      <c r="A12" s="52" t="s">
        <v>132</v>
      </c>
      <c r="B12" s="7">
        <f>11044-5944-3</f>
        <v>5097</v>
      </c>
      <c r="C12" s="70"/>
      <c r="D12" s="7">
        <f>-248672-F12-H12-J12</f>
        <v>-300106</v>
      </c>
      <c r="E12" s="70"/>
      <c r="F12" s="7">
        <f>10637</f>
        <v>10637</v>
      </c>
      <c r="G12" s="70"/>
      <c r="H12" s="7">
        <v>21751</v>
      </c>
      <c r="I12" s="70"/>
      <c r="J12" s="7">
        <v>19046</v>
      </c>
      <c r="K12" s="70"/>
      <c r="L12" s="7">
        <v>24965</v>
      </c>
      <c r="M12" s="70"/>
      <c r="N12" s="7">
        <f>73336</f>
        <v>73336</v>
      </c>
      <c r="O12" s="70"/>
      <c r="P12" s="7">
        <v>11088</v>
      </c>
      <c r="Q12" s="70"/>
      <c r="R12" s="7">
        <v>23393</v>
      </c>
      <c r="S12" s="70"/>
      <c r="T12" s="7">
        <f>74215-(V12+X12+Z12)</f>
        <v>34982</v>
      </c>
      <c r="U12" s="70"/>
      <c r="V12" s="7">
        <v>11432</v>
      </c>
      <c r="W12" s="70"/>
      <c r="X12" s="7">
        <v>6343</v>
      </c>
      <c r="Y12" s="70"/>
      <c r="Z12" s="7">
        <v>21458</v>
      </c>
      <c r="AA12" s="70"/>
      <c r="AB12" s="7">
        <v>26054</v>
      </c>
      <c r="AC12" s="70"/>
      <c r="AD12" s="7">
        <v>8273</v>
      </c>
      <c r="AE12" s="70"/>
      <c r="AF12" s="7">
        <v>920731</v>
      </c>
      <c r="AG12" s="70"/>
      <c r="AH12" s="7">
        <v>28391</v>
      </c>
      <c r="AI12" s="25"/>
      <c r="AJ12" s="80">
        <f>118795-71744-85616+15441-711</f>
        <v>-23835</v>
      </c>
      <c r="AK12" s="4"/>
      <c r="AL12" s="7">
        <v>25270</v>
      </c>
      <c r="AM12" s="4"/>
      <c r="AN12" s="7">
        <v>14601</v>
      </c>
      <c r="AO12" s="4"/>
      <c r="AP12" s="7">
        <v>28001</v>
      </c>
      <c r="AQ12" s="4"/>
      <c r="AS12" s="4" t="s">
        <v>146</v>
      </c>
      <c r="AT12" s="4">
        <f t="shared" ref="AT12:AT15" si="5">B12/J12-1</f>
        <v>-0.73238475270397985</v>
      </c>
    </row>
    <row r="13" spans="1:49">
      <c r="A13" s="52" t="s">
        <v>133</v>
      </c>
      <c r="B13" s="3">
        <f>B11+B12</f>
        <v>-137671</v>
      </c>
      <c r="C13" s="70"/>
      <c r="D13" s="3">
        <f>D11+D12</f>
        <v>-383712</v>
      </c>
      <c r="E13" s="70"/>
      <c r="F13" s="3">
        <f>F11+F12</f>
        <v>-103502</v>
      </c>
      <c r="G13" s="70"/>
      <c r="H13" s="3">
        <f>H11+H12</f>
        <v>-108947</v>
      </c>
      <c r="I13" s="70"/>
      <c r="J13" s="3">
        <f>J11+J12</f>
        <v>-30404</v>
      </c>
      <c r="K13" s="70"/>
      <c r="L13" s="3">
        <f>L11+L12</f>
        <v>26331</v>
      </c>
      <c r="M13" s="70"/>
      <c r="N13" s="3">
        <f>N11+N12</f>
        <v>34369</v>
      </c>
      <c r="O13" s="70"/>
      <c r="P13" s="3">
        <v>-156604</v>
      </c>
      <c r="Q13" s="70"/>
      <c r="R13" s="3">
        <v>5560</v>
      </c>
      <c r="S13" s="70"/>
      <c r="T13" s="3">
        <f>T11+T12</f>
        <v>36935</v>
      </c>
      <c r="U13" s="70"/>
      <c r="V13" s="3">
        <f>V11+V12</f>
        <v>134140</v>
      </c>
      <c r="W13" s="70"/>
      <c r="X13" s="3">
        <f>X11+X12</f>
        <v>48590</v>
      </c>
      <c r="Y13" s="70"/>
      <c r="Z13" s="3">
        <f>Z11+Z12</f>
        <v>92991</v>
      </c>
      <c r="AA13" s="70"/>
      <c r="AB13" s="3">
        <f>AB11+AB12</f>
        <v>95701</v>
      </c>
      <c r="AC13" s="70"/>
      <c r="AD13" s="3">
        <f>AD11+AD12</f>
        <v>-4382</v>
      </c>
      <c r="AE13" s="70"/>
      <c r="AF13" s="3">
        <f>AF11+AF12</f>
        <v>952900</v>
      </c>
      <c r="AG13" s="70"/>
      <c r="AH13" s="3">
        <f>AH11+AH12</f>
        <v>-40565</v>
      </c>
      <c r="AI13" s="25"/>
      <c r="AJ13" s="3">
        <f>AJ11+AJ12</f>
        <v>146416</v>
      </c>
      <c r="AK13" s="4"/>
      <c r="AL13" s="3">
        <f>AL11+AL12</f>
        <v>236725</v>
      </c>
      <c r="AM13" s="4"/>
      <c r="AN13" s="3">
        <f>AN11+AN12</f>
        <v>265691</v>
      </c>
      <c r="AO13" s="4"/>
      <c r="AP13" s="3">
        <f>AP11+AP12</f>
        <v>328225</v>
      </c>
      <c r="AQ13" s="4"/>
      <c r="AS13" s="4">
        <f>B13/D13-1</f>
        <v>-0.64121268034359102</v>
      </c>
      <c r="AT13" s="4">
        <f t="shared" si="5"/>
        <v>3.5280555190106568</v>
      </c>
    </row>
    <row r="14" spans="1:49">
      <c r="A14" s="52" t="s">
        <v>134</v>
      </c>
      <c r="B14" s="3">
        <v>23704</v>
      </c>
      <c r="C14" s="70"/>
      <c r="D14" s="3">
        <f>51257-F14-H14-J14</f>
        <v>10265</v>
      </c>
      <c r="E14" s="70"/>
      <c r="F14" s="3">
        <v>20337</v>
      </c>
      <c r="G14" s="70"/>
      <c r="H14" s="3">
        <v>16126</v>
      </c>
      <c r="I14" s="70"/>
      <c r="J14" s="3">
        <v>4529</v>
      </c>
      <c r="K14" s="70"/>
      <c r="L14" s="3">
        <v>-8500</v>
      </c>
      <c r="M14" s="70"/>
      <c r="N14" s="3">
        <v>-3324</v>
      </c>
      <c r="O14" s="70"/>
      <c r="P14" s="3">
        <v>21197</v>
      </c>
      <c r="Q14" s="70"/>
      <c r="R14" s="3">
        <v>-4937</v>
      </c>
      <c r="S14" s="70"/>
      <c r="T14" s="3">
        <f>-48006-(V14+X14+Z14)</f>
        <v>-964</v>
      </c>
      <c r="U14" s="70"/>
      <c r="V14" s="3">
        <v>-21890</v>
      </c>
      <c r="W14" s="70"/>
      <c r="X14" s="3">
        <v>-14910</v>
      </c>
      <c r="Y14" s="70"/>
      <c r="Z14" s="3">
        <v>-10242</v>
      </c>
      <c r="AA14" s="70"/>
      <c r="AB14" s="3">
        <v>-29406</v>
      </c>
      <c r="AC14" s="70"/>
      <c r="AD14" s="3">
        <v>-39619</v>
      </c>
      <c r="AE14" s="70"/>
      <c r="AF14" s="3">
        <v>-36179</v>
      </c>
      <c r="AG14" s="70"/>
      <c r="AH14" s="3">
        <v>-7662</v>
      </c>
      <c r="AI14" s="25"/>
      <c r="AJ14" s="3">
        <f>-209840+163943</f>
        <v>-45897</v>
      </c>
      <c r="AK14" s="4"/>
      <c r="AL14" s="3">
        <v>-48393</v>
      </c>
      <c r="AM14" s="4"/>
      <c r="AN14" s="3">
        <v>-53018</v>
      </c>
      <c r="AO14" s="4"/>
      <c r="AP14" s="3">
        <v>-62532</v>
      </c>
      <c r="AQ14" s="4"/>
      <c r="AS14" s="4">
        <f t="shared" ref="AS14:AS15" si="6">B14/D14-1</f>
        <v>1.3092060399415488</v>
      </c>
      <c r="AT14" s="4">
        <f t="shared" si="5"/>
        <v>4.2338264517553545</v>
      </c>
    </row>
    <row r="15" spans="1:49" ht="16.5">
      <c r="A15" s="53" t="s">
        <v>135</v>
      </c>
      <c r="B15" s="9">
        <f>B13+B14</f>
        <v>-113967</v>
      </c>
      <c r="C15" s="4"/>
      <c r="D15" s="9">
        <f>D13+D14</f>
        <v>-373447</v>
      </c>
      <c r="E15" s="4"/>
      <c r="F15" s="9">
        <f>F13+F14</f>
        <v>-83165</v>
      </c>
      <c r="G15" s="4"/>
      <c r="H15" s="9">
        <f>H13+H14</f>
        <v>-92821</v>
      </c>
      <c r="I15" s="4"/>
      <c r="J15" s="9">
        <f>J13+J14</f>
        <v>-25875</v>
      </c>
      <c r="K15" s="4"/>
      <c r="L15" s="9">
        <f>L13+L14</f>
        <v>17831</v>
      </c>
      <c r="M15" s="4"/>
      <c r="N15" s="9">
        <f>N13+N14</f>
        <v>31045</v>
      </c>
      <c r="O15" s="4"/>
      <c r="P15" s="9">
        <f>P13+P14</f>
        <v>-135407</v>
      </c>
      <c r="Q15" s="4"/>
      <c r="R15" s="9">
        <f>R13+R14</f>
        <v>623</v>
      </c>
      <c r="S15" s="4"/>
      <c r="T15" s="9">
        <f>T13+T14</f>
        <v>35971</v>
      </c>
      <c r="U15" s="4"/>
      <c r="V15" s="9">
        <f>V13+V14</f>
        <v>112250</v>
      </c>
      <c r="W15" s="4"/>
      <c r="X15" s="9">
        <f>X13+X14</f>
        <v>33680</v>
      </c>
      <c r="Y15" s="4"/>
      <c r="Z15" s="9">
        <f>Z13+Z14</f>
        <v>82749</v>
      </c>
      <c r="AA15" s="69"/>
      <c r="AB15" s="9">
        <f>AB13+AB14</f>
        <v>66295</v>
      </c>
      <c r="AC15" s="69">
        <f>AB15/AB3</f>
        <v>5.1768904298392544E-2</v>
      </c>
      <c r="AD15" s="9">
        <f>AD13+AD14</f>
        <v>-44001</v>
      </c>
      <c r="AE15" s="69">
        <f>AD15/AD3</f>
        <v>-4.1561074027091534E-2</v>
      </c>
      <c r="AF15" s="9">
        <f>AF13+AF14</f>
        <v>916721</v>
      </c>
      <c r="AG15" s="69"/>
      <c r="AH15" s="9">
        <f>AH13+AH14</f>
        <v>-48227</v>
      </c>
      <c r="AI15" s="25">
        <f>AH15/AH3</f>
        <v>-5.6006336089114026E-2</v>
      </c>
      <c r="AJ15" s="81">
        <f>AJ13+AJ14</f>
        <v>100519</v>
      </c>
      <c r="AK15" s="4">
        <f>AJ15/AJ3</f>
        <v>8.4891709632332141E-2</v>
      </c>
      <c r="AL15" s="9">
        <f>AL13+AL14</f>
        <v>188332</v>
      </c>
      <c r="AM15" s="4">
        <f>AL15/AL3</f>
        <v>0.15412515487641804</v>
      </c>
      <c r="AN15" s="9">
        <f>AN13+AN14</f>
        <v>212673</v>
      </c>
      <c r="AO15" s="4">
        <f>AN15/AN3</f>
        <v>0.16470855199162335</v>
      </c>
      <c r="AP15" s="9">
        <f>AP13+AP14</f>
        <v>265693</v>
      </c>
      <c r="AQ15" s="4">
        <f>AP15/AP3</f>
        <v>0.18640505194151905</v>
      </c>
      <c r="AS15" s="4">
        <f t="shared" si="6"/>
        <v>-0.69482416514257705</v>
      </c>
      <c r="AT15" s="4">
        <f t="shared" si="5"/>
        <v>3.404521739130435</v>
      </c>
    </row>
    <row r="16" spans="1:49">
      <c r="A16" s="52"/>
      <c r="B16" s="8"/>
      <c r="C16" s="69"/>
      <c r="D16" s="8"/>
      <c r="E16" s="69"/>
      <c r="F16" s="8"/>
      <c r="G16" s="69"/>
      <c r="H16" s="8"/>
      <c r="I16" s="69"/>
      <c r="J16" s="8"/>
      <c r="K16" s="69"/>
      <c r="L16" s="8"/>
      <c r="M16" s="69"/>
      <c r="N16" s="8"/>
      <c r="O16" s="69"/>
      <c r="P16" s="8"/>
      <c r="Q16" s="69"/>
      <c r="R16" s="8"/>
      <c r="S16" s="69"/>
      <c r="T16" s="8"/>
      <c r="U16" s="69"/>
      <c r="V16" s="8"/>
      <c r="W16" s="69"/>
      <c r="X16" s="8"/>
      <c r="Y16" s="69"/>
      <c r="Z16" s="8"/>
      <c r="AA16" s="69"/>
      <c r="AB16" s="8"/>
      <c r="AC16" s="69"/>
      <c r="AD16" s="8"/>
      <c r="AE16" s="69"/>
      <c r="AF16" s="8"/>
      <c r="AG16" s="69"/>
      <c r="AH16" s="8"/>
      <c r="AI16" s="6"/>
      <c r="AJ16" s="8"/>
      <c r="AK16" s="6"/>
      <c r="AL16" s="8"/>
      <c r="AM16" s="6"/>
      <c r="AN16" s="8"/>
      <c r="AO16" s="6"/>
      <c r="AP16" s="8"/>
      <c r="AQ16" s="6"/>
      <c r="AS16" s="4"/>
      <c r="AT16" s="77"/>
    </row>
    <row r="17" spans="1:46">
      <c r="B17" s="5"/>
      <c r="C17" s="69"/>
      <c r="D17" s="5"/>
      <c r="E17" s="69"/>
      <c r="F17" s="5"/>
      <c r="G17" s="69"/>
      <c r="H17" s="5"/>
      <c r="I17" s="69"/>
      <c r="J17" s="5"/>
      <c r="K17" s="69"/>
      <c r="L17" s="5"/>
      <c r="M17" s="69"/>
      <c r="N17" s="5"/>
      <c r="O17" s="69"/>
      <c r="P17" s="5"/>
      <c r="Q17" s="69"/>
      <c r="R17" s="5"/>
      <c r="S17" s="69"/>
      <c r="T17" s="5"/>
      <c r="U17" s="69"/>
      <c r="V17" s="5"/>
      <c r="W17" s="69"/>
      <c r="X17" s="5"/>
      <c r="Y17" s="69"/>
      <c r="Z17" s="5"/>
      <c r="AA17" s="69"/>
      <c r="AB17" s="5"/>
      <c r="AC17" s="69"/>
      <c r="AD17" s="5"/>
      <c r="AE17" s="69"/>
      <c r="AF17" s="5"/>
      <c r="AG17" s="69"/>
      <c r="AH17" s="5"/>
      <c r="AI17" s="6"/>
      <c r="AJ17" s="5"/>
      <c r="AK17" s="6"/>
      <c r="AL17" s="5"/>
      <c r="AM17" s="6"/>
      <c r="AN17" s="5"/>
      <c r="AO17" s="6"/>
      <c r="AP17" s="5"/>
      <c r="AQ17" s="6"/>
      <c r="AS17" s="94"/>
      <c r="AT17" s="87"/>
    </row>
    <row r="18" spans="1:46">
      <c r="A18" s="52" t="s">
        <v>16</v>
      </c>
      <c r="B18" s="111">
        <v>-0.39</v>
      </c>
      <c r="C18" s="112"/>
      <c r="D18" s="111">
        <f>-1.95-F18-H18-J18</f>
        <v>-1.2699999999999998</v>
      </c>
      <c r="E18" s="112"/>
      <c r="F18" s="111">
        <v>-0.28000000000000003</v>
      </c>
      <c r="G18" s="112"/>
      <c r="H18" s="111">
        <v>-0.31</v>
      </c>
      <c r="I18" s="112"/>
      <c r="J18" s="111">
        <v>-0.09</v>
      </c>
      <c r="K18" s="112"/>
      <c r="L18" s="106">
        <v>0.06</v>
      </c>
      <c r="M18" s="69"/>
      <c r="N18" s="95">
        <v>0.11</v>
      </c>
      <c r="O18" s="69"/>
      <c r="P18" s="95">
        <v>-0.46</v>
      </c>
      <c r="Q18" s="69"/>
      <c r="R18" s="11">
        <v>0</v>
      </c>
      <c r="S18" s="69"/>
      <c r="T18" s="11">
        <f>0.9-(V18+X18+Z18)</f>
        <v>0.12</v>
      </c>
      <c r="U18" s="69"/>
      <c r="V18" s="11">
        <v>0.38</v>
      </c>
      <c r="W18" s="69"/>
      <c r="X18" s="11">
        <v>0.12</v>
      </c>
      <c r="Y18" s="69"/>
      <c r="Z18" s="11">
        <v>0.28000000000000003</v>
      </c>
      <c r="AA18" s="69"/>
      <c r="AB18" s="11">
        <v>0.23</v>
      </c>
      <c r="AC18" s="69"/>
      <c r="AD18" s="11">
        <v>-0.15</v>
      </c>
      <c r="AE18" s="69"/>
      <c r="AF18" s="11">
        <v>3.13</v>
      </c>
      <c r="AG18" s="69"/>
      <c r="AH18" s="11">
        <v>-0.16</v>
      </c>
      <c r="AI18" s="6"/>
      <c r="AJ18" s="82">
        <f>2.62-2.28</f>
        <v>0.3400000000000003</v>
      </c>
      <c r="AK18" s="6"/>
      <c r="AL18" s="11">
        <v>0.64</v>
      </c>
      <c r="AM18" s="6"/>
      <c r="AN18" s="11">
        <v>0.73</v>
      </c>
      <c r="AO18" s="6"/>
      <c r="AP18" s="11">
        <v>0.91</v>
      </c>
      <c r="AQ18" s="6"/>
      <c r="AS18" s="94"/>
      <c r="AT18" s="87"/>
    </row>
    <row r="19" spans="1:46">
      <c r="B19" s="10"/>
      <c r="C19" s="69"/>
      <c r="D19" s="10"/>
      <c r="E19" s="69"/>
      <c r="F19" s="10"/>
      <c r="G19" s="69"/>
      <c r="H19" s="10"/>
      <c r="I19" s="69"/>
      <c r="J19" s="10"/>
      <c r="K19" s="69"/>
      <c r="L19" s="10"/>
      <c r="M19" s="69"/>
      <c r="N19" s="10"/>
      <c r="O19" s="69"/>
      <c r="P19" s="10"/>
      <c r="Q19" s="69"/>
      <c r="R19" s="10"/>
      <c r="S19" s="69"/>
      <c r="T19" s="10"/>
      <c r="U19" s="69"/>
      <c r="V19" s="10"/>
      <c r="W19" s="69"/>
      <c r="X19" s="10"/>
      <c r="Y19" s="69"/>
      <c r="Z19" s="10"/>
      <c r="AA19" s="69"/>
      <c r="AB19" s="10"/>
      <c r="AC19" s="69"/>
      <c r="AD19" s="10"/>
      <c r="AE19" s="69"/>
      <c r="AF19" s="10"/>
      <c r="AG19" s="69"/>
      <c r="AH19" s="10"/>
      <c r="AJ19" s="10"/>
      <c r="AL19" s="10"/>
      <c r="AN19" s="10"/>
      <c r="AP19" s="10"/>
      <c r="AS19" s="94"/>
      <c r="AT19" s="87"/>
    </row>
    <row r="20" spans="1:46" hidden="1">
      <c r="AT20" s="87"/>
    </row>
    <row r="21" spans="1:46" hidden="1"/>
  </sheetData>
  <sheetProtection sheet="1" objects="1" scenarios="1"/>
  <customSheetViews>
    <customSheetView guid="{6CC4FA47-4F74-48A0-8033-8683B05A3BC4}" topLeftCell="A7">
      <selection activeCell="B17" sqref="B1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293A8923-ED08-4701-85A2-A97D5F3D44EF}" fitToPage="1" printArea="1" hiddenRows="1" hiddenColumns="1">
      <selection activeCell="AL11" sqref="AL11"/>
      <pageMargins left="0.70866141732283472" right="0.70866141732283472" top="0.74803149606299213" bottom="0.74803149606299213" header="0.31496062992125984" footer="0.31496062992125984"/>
      <pageSetup paperSize="9" scale="77" orientation="landscape" r:id="rId2"/>
    </customSheetView>
  </customSheetViews>
  <mergeCells count="21">
    <mergeCell ref="B2:C2"/>
    <mergeCell ref="AP2:AQ2"/>
    <mergeCell ref="AF2:AG2"/>
    <mergeCell ref="AN2:AO2"/>
    <mergeCell ref="AB2:AC2"/>
    <mergeCell ref="AD2:AE2"/>
    <mergeCell ref="D2:E2"/>
    <mergeCell ref="F2:G2"/>
    <mergeCell ref="H2:I2"/>
    <mergeCell ref="T2:U2"/>
    <mergeCell ref="AL2:AM2"/>
    <mergeCell ref="AH2:AI2"/>
    <mergeCell ref="AJ2:AK2"/>
    <mergeCell ref="V2:W2"/>
    <mergeCell ref="X2:Y2"/>
    <mergeCell ref="Z2:AA2"/>
    <mergeCell ref="R2:S2"/>
    <mergeCell ref="J2:K2"/>
    <mergeCell ref="L2:M2"/>
    <mergeCell ref="N2:O2"/>
    <mergeCell ref="P2:Q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workbookViewId="0">
      <selection activeCell="G62" sqref="G62"/>
    </sheetView>
  </sheetViews>
  <sheetFormatPr defaultColWidth="9" defaultRowHeight="15.75"/>
  <cols>
    <col min="1" max="1" width="46.875" style="20" customWidth="1"/>
    <col min="2" max="2" width="19.375" style="19" customWidth="1"/>
    <col min="3" max="3" width="2.125" style="18" customWidth="1"/>
    <col min="4" max="4" width="19.875" style="19" customWidth="1"/>
    <col min="5" max="5" width="2.125" style="18" customWidth="1"/>
    <col min="6" max="6" width="18.875" style="19" hidden="1" customWidth="1"/>
    <col min="7" max="16384" width="9" style="12"/>
  </cols>
  <sheetData>
    <row r="1" spans="1:6" ht="76.5" customHeight="1"/>
    <row r="2" spans="1:6">
      <c r="A2" s="56" t="s">
        <v>35</v>
      </c>
    </row>
    <row r="3" spans="1:6" ht="17.25" thickBot="1">
      <c r="A3" s="55" t="s">
        <v>36</v>
      </c>
      <c r="B3" s="57">
        <v>42735</v>
      </c>
      <c r="C3" s="22"/>
      <c r="D3" s="57">
        <v>42369</v>
      </c>
      <c r="E3" s="22"/>
      <c r="F3" s="57">
        <v>42004</v>
      </c>
    </row>
    <row r="4" spans="1:6">
      <c r="A4" s="54" t="s">
        <v>120</v>
      </c>
      <c r="B4" s="27">
        <f>1055280+141085+31058+41618+2296317</f>
        <v>3565358</v>
      </c>
      <c r="C4" s="23"/>
      <c r="D4" s="27">
        <f>674166+258997+50932+3001141</f>
        <v>3985236</v>
      </c>
      <c r="E4" s="23"/>
      <c r="F4" s="27">
        <f>418878+129338+52911+3515319</f>
        <v>4116446</v>
      </c>
    </row>
    <row r="5" spans="1:6">
      <c r="A5" s="54" t="s">
        <v>21</v>
      </c>
      <c r="B5" s="90">
        <f>238759</f>
        <v>238759</v>
      </c>
      <c r="C5" s="23"/>
      <c r="D5" s="90">
        <v>262039</v>
      </c>
      <c r="E5" s="23"/>
      <c r="F5" s="90">
        <v>164134</v>
      </c>
    </row>
    <row r="6" spans="1:6">
      <c r="A6" s="54" t="s">
        <v>22</v>
      </c>
      <c r="B6" s="27">
        <v>552363</v>
      </c>
      <c r="C6" s="23"/>
      <c r="D6" s="27">
        <v>448137</v>
      </c>
      <c r="E6" s="23"/>
      <c r="F6" s="27">
        <v>512045</v>
      </c>
    </row>
    <row r="7" spans="1:6">
      <c r="A7" s="54" t="s">
        <v>23</v>
      </c>
      <c r="B7" s="90">
        <f>283628+7942+31451</f>
        <v>323021</v>
      </c>
      <c r="C7" s="23"/>
      <c r="D7" s="90">
        <f>427104+49184</f>
        <v>476288</v>
      </c>
      <c r="E7" s="23"/>
      <c r="F7" s="90">
        <f>457267+108434</f>
        <v>565701</v>
      </c>
    </row>
    <row r="8" spans="1:6" ht="16.5">
      <c r="A8" s="55" t="s">
        <v>24</v>
      </c>
      <c r="B8" s="27">
        <f>SUM(B4:B7)</f>
        <v>4679501</v>
      </c>
      <c r="C8" s="23"/>
      <c r="D8" s="27">
        <f>SUM(D4:D7)</f>
        <v>5171700</v>
      </c>
      <c r="E8" s="23"/>
      <c r="F8" s="27">
        <f>SUM(F4:F7)</f>
        <v>5358326</v>
      </c>
    </row>
    <row r="9" spans="1:6">
      <c r="A9" s="54" t="s">
        <v>115</v>
      </c>
      <c r="B9" s="27">
        <v>60410</v>
      </c>
      <c r="C9" s="23"/>
      <c r="D9" s="27">
        <f>68489+45224+810</f>
        <v>114523</v>
      </c>
      <c r="E9" s="23"/>
      <c r="F9" s="27">
        <f>44444+46306+4871</f>
        <v>95621</v>
      </c>
    </row>
    <row r="10" spans="1:6">
      <c r="A10" s="54" t="s">
        <v>25</v>
      </c>
      <c r="B10" s="27">
        <f>506418+134833</f>
        <v>641251</v>
      </c>
      <c r="C10" s="23"/>
      <c r="D10" s="27">
        <f>541020+135767</f>
        <v>676787</v>
      </c>
      <c r="E10" s="23"/>
      <c r="F10" s="27">
        <v>685008</v>
      </c>
    </row>
    <row r="11" spans="1:6">
      <c r="A11" s="54" t="s">
        <v>26</v>
      </c>
      <c r="B11" s="27">
        <v>170971</v>
      </c>
      <c r="C11" s="23"/>
      <c r="D11" s="27">
        <f>319236+127616</f>
        <v>446852</v>
      </c>
      <c r="E11" s="23"/>
      <c r="F11" s="27">
        <f>319236+229189</f>
        <v>548425</v>
      </c>
    </row>
    <row r="12" spans="1:6">
      <c r="A12" s="54" t="s">
        <v>27</v>
      </c>
      <c r="B12" s="33">
        <f>214171+10971</f>
        <v>225142</v>
      </c>
      <c r="C12" s="23"/>
      <c r="D12" s="33">
        <f>159721+12478</f>
        <v>172199</v>
      </c>
      <c r="E12" s="23"/>
      <c r="F12" s="33">
        <f>141138+12047</f>
        <v>153185</v>
      </c>
    </row>
    <row r="13" spans="1:6" s="13" customFormat="1" ht="16.5">
      <c r="A13" s="55" t="s">
        <v>28</v>
      </c>
      <c r="B13" s="34">
        <f>SUM(B8:B12)</f>
        <v>5777275</v>
      </c>
      <c r="C13" s="24"/>
      <c r="D13" s="34">
        <f>SUM(D8:D12)</f>
        <v>6582061</v>
      </c>
      <c r="E13" s="24"/>
      <c r="F13" s="34">
        <f>SUM(F8:F12)</f>
        <v>6840565</v>
      </c>
    </row>
    <row r="14" spans="1:6">
      <c r="A14" s="54"/>
      <c r="B14" s="35"/>
      <c r="C14" s="23"/>
      <c r="D14" s="35"/>
      <c r="E14" s="23"/>
      <c r="F14" s="35"/>
    </row>
    <row r="15" spans="1:6">
      <c r="A15" s="54" t="s">
        <v>29</v>
      </c>
      <c r="B15" s="27">
        <v>448124</v>
      </c>
      <c r="C15" s="23"/>
      <c r="D15" s="27">
        <v>633629</v>
      </c>
      <c r="E15" s="23"/>
      <c r="F15" s="27">
        <v>511217</v>
      </c>
    </row>
    <row r="16" spans="1:6">
      <c r="A16" s="54" t="s">
        <v>30</v>
      </c>
      <c r="B16" s="27">
        <f>386647+1231+11632+19990</f>
        <v>419500</v>
      </c>
      <c r="C16" s="23"/>
      <c r="D16" s="27">
        <f>358811+5053+7162+29340</f>
        <v>400366</v>
      </c>
      <c r="E16" s="23"/>
      <c r="F16" s="27">
        <f>419264+30038+7313+59797</f>
        <v>516412</v>
      </c>
    </row>
    <row r="17" spans="1:6">
      <c r="A17" s="105" t="s">
        <v>136</v>
      </c>
      <c r="B17" s="33">
        <v>17626</v>
      </c>
      <c r="C17" s="23"/>
      <c r="D17" s="33">
        <v>30148</v>
      </c>
      <c r="E17" s="23"/>
      <c r="F17" s="33">
        <v>38915</v>
      </c>
    </row>
    <row r="18" spans="1:6" s="13" customFormat="1" ht="16.5">
      <c r="A18" s="55" t="s">
        <v>31</v>
      </c>
      <c r="B18" s="34">
        <f>SUM(B15:B17)</f>
        <v>885250</v>
      </c>
      <c r="C18" s="24"/>
      <c r="D18" s="34">
        <f>SUM(D15:D17)</f>
        <v>1064143</v>
      </c>
      <c r="E18" s="24"/>
      <c r="F18" s="34">
        <f>SUM(F15:F17)</f>
        <v>1066544</v>
      </c>
    </row>
    <row r="19" spans="1:6">
      <c r="A19" s="54"/>
      <c r="B19" s="35"/>
      <c r="C19" s="23"/>
      <c r="D19" s="35"/>
      <c r="E19" s="23"/>
      <c r="F19" s="35"/>
    </row>
    <row r="20" spans="1:6" s="13" customFormat="1" ht="16.5">
      <c r="A20" s="55" t="s">
        <v>32</v>
      </c>
      <c r="B20" s="36">
        <v>4892025</v>
      </c>
      <c r="C20" s="24"/>
      <c r="D20" s="36">
        <v>5517918</v>
      </c>
      <c r="E20" s="24"/>
      <c r="F20" s="36">
        <v>5774021</v>
      </c>
    </row>
    <row r="21" spans="1:6">
      <c r="A21" s="54"/>
      <c r="B21" s="35"/>
      <c r="C21" s="23"/>
      <c r="D21" s="35"/>
      <c r="E21" s="23"/>
      <c r="F21" s="35"/>
    </row>
    <row r="22" spans="1:6" ht="16.5">
      <c r="A22" s="55" t="s">
        <v>33</v>
      </c>
      <c r="B22" s="37"/>
      <c r="D22" s="37"/>
      <c r="F22" s="37"/>
    </row>
    <row r="23" spans="1:6">
      <c r="A23" s="54" t="s">
        <v>99</v>
      </c>
      <c r="B23" s="38">
        <f>B32</f>
        <v>26.875188194112816</v>
      </c>
      <c r="D23" s="38">
        <f>D32</f>
        <v>21.416654481931207</v>
      </c>
      <c r="F23" s="38">
        <v>29.750076655846982</v>
      </c>
    </row>
    <row r="24" spans="1:6">
      <c r="A24" s="54" t="s">
        <v>98</v>
      </c>
      <c r="B24" s="38">
        <f>B39</f>
        <v>84.752597355276606</v>
      </c>
      <c r="D24" s="38">
        <f>D39</f>
        <v>82.387319553312182</v>
      </c>
      <c r="F24" s="38">
        <v>63.435615567683662</v>
      </c>
    </row>
    <row r="25" spans="1:6">
      <c r="A25" s="54" t="s">
        <v>34</v>
      </c>
      <c r="B25" s="39">
        <f>(B4+B5+B6+B7)/(B15+B16)</f>
        <v>5.3934665246696722</v>
      </c>
      <c r="D25" s="39">
        <v>5.0016682865971305</v>
      </c>
      <c r="F25" s="39">
        <v>5.2142611779153762</v>
      </c>
    </row>
    <row r="27" spans="1:6" hidden="1">
      <c r="A27" s="20" t="s">
        <v>2</v>
      </c>
      <c r="B27" s="40">
        <f>年度簡明合併損益表!B5</f>
        <v>3400744</v>
      </c>
      <c r="D27" s="40">
        <f>年度簡明合併損益表!D5</f>
        <v>3631593</v>
      </c>
      <c r="F27" s="40">
        <v>4647395</v>
      </c>
    </row>
    <row r="28" spans="1:6" hidden="1">
      <c r="A28" s="21" t="s">
        <v>4</v>
      </c>
      <c r="B28" s="40">
        <v>241627</v>
      </c>
      <c r="D28" s="40">
        <v>265059</v>
      </c>
      <c r="F28" s="40">
        <v>167238</v>
      </c>
    </row>
    <row r="29" spans="1:6" hidden="1">
      <c r="A29" s="21" t="s">
        <v>92</v>
      </c>
      <c r="B29" s="40">
        <v>238759</v>
      </c>
      <c r="D29" s="40">
        <v>262039</v>
      </c>
      <c r="F29" s="40">
        <v>164134</v>
      </c>
    </row>
    <row r="30" spans="1:6" hidden="1">
      <c r="A30" s="20" t="s">
        <v>5</v>
      </c>
      <c r="B30" s="40">
        <v>365</v>
      </c>
      <c r="D30" s="40">
        <v>365</v>
      </c>
      <c r="F30" s="40">
        <v>365</v>
      </c>
    </row>
    <row r="31" spans="1:6" hidden="1">
      <c r="A31" s="20" t="s">
        <v>93</v>
      </c>
      <c r="B31" s="40">
        <f>B30/(B27/((B28+D28)/2))</f>
        <v>27.191166109533675</v>
      </c>
      <c r="D31" s="40">
        <f>D30/(D27/((D28+F28)/2))</f>
        <v>21.724406479470577</v>
      </c>
      <c r="F31" s="40">
        <f>F30/(F27/((F28+H28)/2))</f>
        <v>6.5673210475976322</v>
      </c>
    </row>
    <row r="32" spans="1:6" hidden="1">
      <c r="A32" s="20" t="s">
        <v>94</v>
      </c>
      <c r="B32" s="40">
        <f>B30/(B27/((B29+D29)/2))</f>
        <v>26.875188194112816</v>
      </c>
      <c r="D32" s="40">
        <f>D30/(D27/((D29+F29)/2))</f>
        <v>21.416654481931207</v>
      </c>
      <c r="F32" s="40">
        <f>F30/(F27/((F29+H29)/2))</f>
        <v>6.4454291059830293</v>
      </c>
    </row>
    <row r="33" spans="1:6" hidden="1">
      <c r="B33" s="40"/>
      <c r="D33" s="40"/>
      <c r="F33" s="40"/>
    </row>
    <row r="34" spans="1:6" hidden="1">
      <c r="A34" s="20" t="s">
        <v>0</v>
      </c>
      <c r="B34" s="40">
        <f>-年度簡明合併損益表!B6</f>
        <v>2154403</v>
      </c>
      <c r="D34" s="40">
        <f>-年度簡明合併損益表!D6</f>
        <v>2126944</v>
      </c>
      <c r="F34" s="40">
        <v>2584996</v>
      </c>
    </row>
    <row r="35" spans="1:6" hidden="1">
      <c r="A35" s="21" t="s">
        <v>1</v>
      </c>
      <c r="B35" s="40">
        <v>657097</v>
      </c>
      <c r="D35" s="40">
        <v>532962</v>
      </c>
      <c r="F35" s="40">
        <v>643190</v>
      </c>
    </row>
    <row r="36" spans="1:6" hidden="1">
      <c r="A36" s="21" t="s">
        <v>97</v>
      </c>
      <c r="B36" s="40">
        <v>552363</v>
      </c>
      <c r="D36" s="40">
        <v>448137</v>
      </c>
      <c r="F36" s="40">
        <v>512045</v>
      </c>
    </row>
    <row r="37" spans="1:6" hidden="1">
      <c r="A37" s="20" t="s">
        <v>5</v>
      </c>
      <c r="B37" s="40">
        <v>365</v>
      </c>
      <c r="D37" s="40">
        <v>365</v>
      </c>
      <c r="F37" s="40">
        <f>F30</f>
        <v>365</v>
      </c>
    </row>
    <row r="38" spans="1:6" hidden="1">
      <c r="A38" s="20" t="s">
        <v>95</v>
      </c>
      <c r="B38" s="40">
        <f>B37/(B34/((B35+D35)/2))</f>
        <v>100.81018616294166</v>
      </c>
      <c r="D38" s="40">
        <f>D37/(D34/((D35+F35)/2))</f>
        <v>100.91837866911399</v>
      </c>
      <c r="F38" s="40">
        <f>F37/(F34/((F35+H35)/2))</f>
        <v>45.409035449184451</v>
      </c>
    </row>
    <row r="39" spans="1:6" hidden="1">
      <c r="A39" s="20" t="s">
        <v>96</v>
      </c>
      <c r="B39" s="40">
        <f>B37/(B34/AVERAGE(B36,D36))</f>
        <v>84.752597355276606</v>
      </c>
      <c r="D39" s="40">
        <f>D37/(D34/AVERAGE(D36,F36))</f>
        <v>82.387319553312182</v>
      </c>
      <c r="F39" s="40">
        <f>F37/(F34/AVERAGE(F36,H36))</f>
        <v>72.300469710591429</v>
      </c>
    </row>
    <row r="40" spans="1:6" hidden="1">
      <c r="B40" s="40"/>
      <c r="D40" s="40"/>
      <c r="F40" s="40"/>
    </row>
    <row r="41" spans="1:6" hidden="1">
      <c r="A41" s="20" t="s">
        <v>6</v>
      </c>
      <c r="B41" s="41">
        <f>B8/(B15+B16)</f>
        <v>5.3934665246696722</v>
      </c>
      <c r="D41" s="41">
        <f>D8/(D15+D16)</f>
        <v>5.0016682865971305</v>
      </c>
      <c r="F41" s="41">
        <f>F8/(F15+F16)</f>
        <v>5.2142611779153762</v>
      </c>
    </row>
    <row r="42" spans="1:6" hidden="1"/>
    <row r="43" spans="1:6" hidden="1">
      <c r="B43" s="40"/>
      <c r="D43" s="40"/>
      <c r="F43" s="40"/>
    </row>
    <row r="44" spans="1:6" hidden="1">
      <c r="A44" s="20" t="s">
        <v>0</v>
      </c>
      <c r="B44" s="40">
        <f>B34</f>
        <v>2154403</v>
      </c>
      <c r="D44" s="40">
        <f>D34</f>
        <v>2126944</v>
      </c>
      <c r="F44" s="40">
        <f>F34</f>
        <v>2584996</v>
      </c>
    </row>
    <row r="45" spans="1:6" hidden="1">
      <c r="A45" s="21" t="s">
        <v>3</v>
      </c>
      <c r="B45" s="40">
        <f>B15</f>
        <v>448124</v>
      </c>
      <c r="D45" s="40">
        <f>D15</f>
        <v>633629</v>
      </c>
      <c r="F45" s="40">
        <f>F15</f>
        <v>511217</v>
      </c>
    </row>
    <row r="46" spans="1:6" hidden="1">
      <c r="A46" s="20" t="s">
        <v>5</v>
      </c>
      <c r="B46" s="40">
        <f>B30</f>
        <v>365</v>
      </c>
      <c r="D46" s="40">
        <f>D30</f>
        <v>365</v>
      </c>
      <c r="F46" s="40">
        <f>F30</f>
        <v>365</v>
      </c>
    </row>
    <row r="47" spans="1:6" hidden="1">
      <c r="A47" s="20" t="s">
        <v>7</v>
      </c>
      <c r="B47" s="40">
        <f>B46/(B44/((B45+D45)/2))</f>
        <v>91.635558667528784</v>
      </c>
      <c r="D47" s="40">
        <f>D46/(D44/((D45+F45)/2))</f>
        <v>98.23220310454812</v>
      </c>
      <c r="F47" s="40">
        <f>F46/(F44/((F45+H45)/2))</f>
        <v>36.091778285150149</v>
      </c>
    </row>
    <row r="48" spans="1:6" hidden="1">
      <c r="B48" s="40"/>
      <c r="D48" s="40"/>
      <c r="F48" s="40"/>
    </row>
  </sheetData>
  <phoneticPr fontId="1" type="noConversion"/>
  <pageMargins left="0.7" right="0.7" top="0.75" bottom="0.75" header="0.3" footer="0.3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8"/>
  <sheetViews>
    <sheetView topLeftCell="A19" zoomScaleNormal="100" workbookViewId="0">
      <selection activeCell="J29" sqref="J29"/>
    </sheetView>
  </sheetViews>
  <sheetFormatPr defaultColWidth="9" defaultRowHeight="15.75"/>
  <cols>
    <col min="1" max="1" width="46.875" style="20" customWidth="1"/>
    <col min="2" max="2" width="19.375" style="19" customWidth="1"/>
    <col min="3" max="3" width="2.125" style="18" customWidth="1"/>
    <col min="4" max="4" width="19.375" style="19" customWidth="1"/>
    <col min="5" max="5" width="2.125" style="18" customWidth="1"/>
    <col min="6" max="6" width="19.375" style="19" hidden="1" customWidth="1"/>
    <col min="7" max="7" width="2.125" style="18" hidden="1" customWidth="1"/>
    <col min="8" max="8" width="19.375" style="19" hidden="1" customWidth="1"/>
    <col min="9" max="9" width="2.125" style="18" hidden="1" customWidth="1"/>
    <col min="10" max="10" width="19.375" style="19" customWidth="1"/>
    <col min="11" max="11" width="2.125" style="18" customWidth="1"/>
    <col min="12" max="12" width="18.875" style="19" hidden="1" customWidth="1"/>
    <col min="13" max="13" width="2.125" style="18" hidden="1" customWidth="1"/>
    <col min="14" max="14" width="17.5" style="19" hidden="1" customWidth="1"/>
    <col min="15" max="15" width="2.125" style="18" hidden="1" customWidth="1"/>
    <col min="16" max="16" width="17.5" style="19" hidden="1" customWidth="1"/>
    <col min="17" max="17" width="2.125" style="18" hidden="1" customWidth="1"/>
    <col min="18" max="18" width="17.5" style="19" hidden="1" customWidth="1"/>
    <col min="19" max="19" width="2.125" style="18" hidden="1" customWidth="1"/>
    <col min="20" max="20" width="18.875" style="19" hidden="1" customWidth="1"/>
    <col min="21" max="21" width="2.125" style="18" hidden="1" customWidth="1"/>
    <col min="22" max="22" width="17.5" style="19" hidden="1" customWidth="1"/>
    <col min="23" max="23" width="2.125" style="18" hidden="1" customWidth="1"/>
    <col min="24" max="24" width="17.5" style="19" hidden="1" customWidth="1"/>
    <col min="25" max="25" width="2.125" style="18" hidden="1" customWidth="1"/>
    <col min="26" max="26" width="17.5" style="19" hidden="1" customWidth="1"/>
    <col min="27" max="27" width="2.125" style="18" hidden="1" customWidth="1"/>
    <col min="28" max="28" width="18.875" style="19" hidden="1" customWidth="1"/>
    <col min="29" max="29" width="5.375" style="18" hidden="1" customWidth="1"/>
    <col min="30" max="30" width="17.5" style="19" hidden="1" customWidth="1"/>
    <col min="31" max="31" width="3.125" style="18" hidden="1" customWidth="1"/>
    <col min="32" max="32" width="17.5" style="19" hidden="1" customWidth="1"/>
    <col min="33" max="33" width="3.25" style="18" hidden="1" customWidth="1"/>
    <col min="34" max="34" width="17.5" style="19" hidden="1" customWidth="1"/>
    <col min="35" max="35" width="5.75" style="18" hidden="1" customWidth="1"/>
    <col min="36" max="36" width="18.875" style="19" hidden="1" customWidth="1"/>
    <col min="37" max="37" width="5.375" style="18" hidden="1" customWidth="1"/>
    <col min="38" max="38" width="17.5" style="20" hidden="1" customWidth="1"/>
    <col min="39" max="39" width="3.5" style="18" hidden="1" customWidth="1"/>
    <col min="40" max="40" width="17.5" style="20" hidden="1" customWidth="1"/>
    <col min="41" max="41" width="3.25" style="18" hidden="1" customWidth="1"/>
    <col min="42" max="42" width="17.5" style="20" hidden="1" customWidth="1"/>
    <col min="43" max="43" width="2.125" style="18" hidden="1" customWidth="1"/>
    <col min="44" max="48" width="0" style="12" hidden="1" customWidth="1"/>
    <col min="49" max="16384" width="9" style="12"/>
  </cols>
  <sheetData>
    <row r="1" spans="1:43" ht="76.5" customHeight="1"/>
    <row r="2" spans="1:43">
      <c r="A2" s="56" t="s">
        <v>35</v>
      </c>
    </row>
    <row r="3" spans="1:43" ht="17.25" thickBot="1">
      <c r="A3" s="55" t="s">
        <v>36</v>
      </c>
      <c r="B3" s="57">
        <v>42825</v>
      </c>
      <c r="C3" s="22"/>
      <c r="D3" s="57">
        <v>42735</v>
      </c>
      <c r="E3" s="22"/>
      <c r="F3" s="57">
        <v>42643</v>
      </c>
      <c r="G3" s="22"/>
      <c r="H3" s="57">
        <v>42551</v>
      </c>
      <c r="I3" s="22"/>
      <c r="J3" s="57">
        <v>42460</v>
      </c>
      <c r="K3" s="22"/>
      <c r="L3" s="57">
        <v>42369</v>
      </c>
      <c r="M3" s="22"/>
      <c r="N3" s="57">
        <v>42277</v>
      </c>
      <c r="O3" s="22"/>
      <c r="P3" s="57">
        <v>42185</v>
      </c>
      <c r="Q3" s="22"/>
      <c r="R3" s="57">
        <v>42094</v>
      </c>
      <c r="S3" s="22"/>
      <c r="T3" s="57">
        <v>42004</v>
      </c>
      <c r="U3" s="22"/>
      <c r="V3" s="57">
        <v>41912</v>
      </c>
      <c r="W3" s="22"/>
      <c r="X3" s="57">
        <v>41820</v>
      </c>
      <c r="Y3" s="22"/>
      <c r="Z3" s="57">
        <v>41729</v>
      </c>
      <c r="AA3" s="22"/>
      <c r="AB3" s="57">
        <v>41639</v>
      </c>
      <c r="AC3" s="22"/>
      <c r="AD3" s="57">
        <v>41547</v>
      </c>
      <c r="AE3" s="26"/>
      <c r="AF3" s="57">
        <v>41455</v>
      </c>
      <c r="AG3" s="26"/>
      <c r="AH3" s="57">
        <v>41364</v>
      </c>
      <c r="AI3" s="26"/>
      <c r="AJ3" s="57">
        <v>41274</v>
      </c>
      <c r="AK3" s="26"/>
      <c r="AL3" s="57">
        <v>41182</v>
      </c>
      <c r="AM3" s="26"/>
      <c r="AN3" s="57">
        <v>41090</v>
      </c>
      <c r="AO3" s="26"/>
      <c r="AP3" s="57">
        <v>40999</v>
      </c>
      <c r="AQ3" s="26"/>
    </row>
    <row r="4" spans="1:43">
      <c r="A4" s="54" t="s">
        <v>120</v>
      </c>
      <c r="B4" s="27">
        <f>687162+135991+31920+22049+2388043</f>
        <v>3265165</v>
      </c>
      <c r="C4" s="23"/>
      <c r="D4" s="27">
        <f>1055280+141085+31058+41618+2296317</f>
        <v>3565358</v>
      </c>
      <c r="E4" s="23"/>
      <c r="F4" s="27">
        <f>654063+183883+31359+42344+2664161</f>
        <v>3575810</v>
      </c>
      <c r="G4" s="23"/>
      <c r="H4" s="27">
        <f>697935+99556+1306+43766+2797426</f>
        <v>3639989</v>
      </c>
      <c r="I4" s="23"/>
      <c r="J4" s="27">
        <f>661814+264512+1286+2895665+19931</f>
        <v>3843208</v>
      </c>
      <c r="K4" s="23"/>
      <c r="L4" s="27">
        <f>674166+258997+50932+3001141</f>
        <v>3985236</v>
      </c>
      <c r="M4" s="23"/>
      <c r="N4" s="27">
        <f>775465+188706+52527+2787720</f>
        <v>3804418</v>
      </c>
      <c r="O4" s="23"/>
      <c r="P4" s="27">
        <f>593425+186995+50627+3066121</f>
        <v>3897168</v>
      </c>
      <c r="Q4" s="23"/>
      <c r="R4" s="27">
        <f>736799+92761+51599+3287765</f>
        <v>4168924</v>
      </c>
      <c r="S4" s="23"/>
      <c r="T4" s="27">
        <f>418878+129338+52911+3515319</f>
        <v>4116446</v>
      </c>
      <c r="U4" s="23"/>
      <c r="V4" s="27">
        <f>525368+24691+51211+3411377</f>
        <v>4012647</v>
      </c>
      <c r="W4" s="23"/>
      <c r="X4" s="27">
        <f>1401599+17266+50492+3270863</f>
        <v>4740220</v>
      </c>
      <c r="Y4" s="23"/>
      <c r="Z4" s="27">
        <f>760597+42+51019+4091600</f>
        <v>4903258</v>
      </c>
      <c r="AA4" s="23"/>
      <c r="AB4" s="27">
        <f>1577367+244+50561+3088464</f>
        <v>4716636</v>
      </c>
      <c r="AC4" s="23"/>
      <c r="AD4" s="27">
        <f>1743180+1238+50318+2643544</f>
        <v>4438280</v>
      </c>
      <c r="AE4" s="23"/>
      <c r="AF4" s="27">
        <f>2381463+129+51364+2786850</f>
        <v>5219806</v>
      </c>
      <c r="AG4" s="23"/>
      <c r="AH4" s="27">
        <v>3625331</v>
      </c>
      <c r="AI4" s="23"/>
      <c r="AJ4" s="27">
        <v>3614991</v>
      </c>
      <c r="AK4" s="23"/>
      <c r="AL4" s="30">
        <f>1754179+3120+2881+2182065</f>
        <v>3942245</v>
      </c>
      <c r="AM4" s="23"/>
      <c r="AN4" s="30">
        <f>2006922+163+2786+2580689</f>
        <v>4590560</v>
      </c>
      <c r="AO4" s="23"/>
      <c r="AP4" s="30">
        <f>2665428+155+3017+1593159</f>
        <v>4261759</v>
      </c>
      <c r="AQ4" s="23"/>
    </row>
    <row r="5" spans="1:43">
      <c r="A5" s="54" t="s">
        <v>21</v>
      </c>
      <c r="B5" s="90">
        <v>272793</v>
      </c>
      <c r="C5" s="23"/>
      <c r="D5" s="90">
        <f>238759</f>
        <v>238759</v>
      </c>
      <c r="E5" s="23"/>
      <c r="F5" s="90">
        <v>196525</v>
      </c>
      <c r="G5" s="23"/>
      <c r="H5" s="90">
        <v>187092</v>
      </c>
      <c r="I5" s="23"/>
      <c r="J5" s="90">
        <v>218925</v>
      </c>
      <c r="K5" s="23"/>
      <c r="L5" s="90">
        <v>262039</v>
      </c>
      <c r="M5" s="23"/>
      <c r="N5" s="90">
        <v>224347</v>
      </c>
      <c r="O5" s="23"/>
      <c r="P5" s="90">
        <v>155076</v>
      </c>
      <c r="Q5" s="23"/>
      <c r="R5" s="90">
        <v>171856</v>
      </c>
      <c r="S5" s="23"/>
      <c r="T5" s="90">
        <v>164134</v>
      </c>
      <c r="U5" s="23"/>
      <c r="V5" s="27">
        <v>284069</v>
      </c>
      <c r="W5" s="23"/>
      <c r="X5" s="27">
        <v>193296</v>
      </c>
      <c r="Y5" s="23"/>
      <c r="Z5" s="27">
        <v>234289</v>
      </c>
      <c r="AA5" s="23"/>
      <c r="AB5" s="90">
        <f>593457+4</f>
        <v>593461</v>
      </c>
      <c r="AC5" s="23"/>
      <c r="AD5" s="27">
        <v>494568</v>
      </c>
      <c r="AE5" s="23"/>
      <c r="AF5" s="27">
        <v>361040</v>
      </c>
      <c r="AG5" s="23"/>
      <c r="AH5" s="27">
        <v>364952</v>
      </c>
      <c r="AI5" s="23"/>
      <c r="AJ5" s="27">
        <v>603040</v>
      </c>
      <c r="AK5" s="23"/>
      <c r="AL5" s="31">
        <v>663654</v>
      </c>
      <c r="AM5" s="23"/>
      <c r="AN5" s="31">
        <v>428802</v>
      </c>
      <c r="AO5" s="23"/>
      <c r="AP5" s="31">
        <v>665054</v>
      </c>
      <c r="AQ5" s="23"/>
    </row>
    <row r="6" spans="1:43">
      <c r="A6" s="54" t="s">
        <v>22</v>
      </c>
      <c r="B6" s="27">
        <v>590828</v>
      </c>
      <c r="C6" s="23"/>
      <c r="D6" s="27">
        <v>552363</v>
      </c>
      <c r="E6" s="23"/>
      <c r="F6" s="27">
        <v>597177</v>
      </c>
      <c r="G6" s="23"/>
      <c r="H6" s="27">
        <v>600965</v>
      </c>
      <c r="I6" s="23"/>
      <c r="J6" s="27">
        <v>611199</v>
      </c>
      <c r="K6" s="23"/>
      <c r="L6" s="27">
        <v>448137</v>
      </c>
      <c r="M6" s="23"/>
      <c r="N6" s="27">
        <v>362042</v>
      </c>
      <c r="O6" s="23"/>
      <c r="P6" s="27">
        <v>500135</v>
      </c>
      <c r="Q6" s="23"/>
      <c r="R6" s="27">
        <v>486091</v>
      </c>
      <c r="S6" s="23"/>
      <c r="T6" s="27">
        <v>512045</v>
      </c>
      <c r="U6" s="23"/>
      <c r="V6" s="27">
        <v>509343</v>
      </c>
      <c r="W6" s="23"/>
      <c r="X6" s="27">
        <v>560753</v>
      </c>
      <c r="Y6" s="23"/>
      <c r="Z6" s="27">
        <v>430168</v>
      </c>
      <c r="AA6" s="23"/>
      <c r="AB6" s="27">
        <v>386480</v>
      </c>
      <c r="AC6" s="23"/>
      <c r="AD6" s="27">
        <v>458841</v>
      </c>
      <c r="AE6" s="23"/>
      <c r="AF6" s="27">
        <v>550460</v>
      </c>
      <c r="AG6" s="23"/>
      <c r="AH6" s="27">
        <v>495408</v>
      </c>
      <c r="AI6" s="23"/>
      <c r="AJ6" s="27">
        <v>503524</v>
      </c>
      <c r="AK6" s="23"/>
      <c r="AL6" s="31">
        <v>375785</v>
      </c>
      <c r="AM6" s="23"/>
      <c r="AN6" s="31">
        <v>311444</v>
      </c>
      <c r="AO6" s="23"/>
      <c r="AP6" s="31">
        <v>311032</v>
      </c>
      <c r="AQ6" s="23"/>
    </row>
    <row r="7" spans="1:43">
      <c r="A7" s="54" t="s">
        <v>23</v>
      </c>
      <c r="B7" s="90">
        <f>262198+9004+30558</f>
        <v>301760</v>
      </c>
      <c r="C7" s="23"/>
      <c r="D7" s="90">
        <f>283628+7942+31451</f>
        <v>323021</v>
      </c>
      <c r="E7" s="23"/>
      <c r="F7" s="90">
        <f>235233+7633+32082</f>
        <v>274948</v>
      </c>
      <c r="G7" s="23"/>
      <c r="H7" s="90">
        <f>326243+5059+43997</f>
        <v>375299</v>
      </c>
      <c r="I7" s="23"/>
      <c r="J7" s="90">
        <f>260348+39167+1990</f>
        <v>301505</v>
      </c>
      <c r="K7" s="23"/>
      <c r="L7" s="90">
        <f>427104+49184</f>
        <v>476288</v>
      </c>
      <c r="M7" s="23"/>
      <c r="N7" s="90">
        <f>389706+47173</f>
        <v>436879</v>
      </c>
      <c r="O7" s="23"/>
      <c r="P7" s="90">
        <f>332555+58255</f>
        <v>390810</v>
      </c>
      <c r="Q7" s="23"/>
      <c r="R7" s="90">
        <f>373307+57791</f>
        <v>431098</v>
      </c>
      <c r="S7" s="23"/>
      <c r="T7" s="90">
        <f>457267+108434</f>
        <v>565701</v>
      </c>
      <c r="U7" s="23"/>
      <c r="V7" s="27">
        <f>587378+57238</f>
        <v>644616</v>
      </c>
      <c r="W7" s="23"/>
      <c r="X7" s="27">
        <f>292545+40311</f>
        <v>332856</v>
      </c>
      <c r="Y7" s="23"/>
      <c r="Z7" s="27">
        <f>332772+18385</f>
        <v>351157</v>
      </c>
      <c r="AA7" s="23"/>
      <c r="AB7" s="27">
        <f>20697+1695+87160</f>
        <v>109552</v>
      </c>
      <c r="AC7" s="23"/>
      <c r="AD7" s="27">
        <f>33031+20559+1995</f>
        <v>55585</v>
      </c>
      <c r="AE7" s="23"/>
      <c r="AF7" s="27">
        <f>35599+31921+1200</f>
        <v>68720</v>
      </c>
      <c r="AG7" s="23"/>
      <c r="AH7" s="27">
        <v>865349</v>
      </c>
      <c r="AI7" s="23"/>
      <c r="AJ7" s="27">
        <v>70121</v>
      </c>
      <c r="AK7" s="23"/>
      <c r="AL7" s="31">
        <f>54394+16516+1483</f>
        <v>72393</v>
      </c>
      <c r="AM7" s="23"/>
      <c r="AN7" s="31">
        <f>66177+14942+1446</f>
        <v>82565</v>
      </c>
      <c r="AO7" s="23"/>
      <c r="AP7" s="31">
        <v>174761</v>
      </c>
      <c r="AQ7" s="23"/>
    </row>
    <row r="8" spans="1:43" ht="16.5">
      <c r="A8" s="55" t="s">
        <v>24</v>
      </c>
      <c r="B8" s="27">
        <f>SUM(B4:B7)</f>
        <v>4430546</v>
      </c>
      <c r="C8" s="23"/>
      <c r="D8" s="27">
        <f>SUM(D4:D7)</f>
        <v>4679501</v>
      </c>
      <c r="E8" s="23"/>
      <c r="F8" s="27">
        <f>SUM(F4:F7)</f>
        <v>4644460</v>
      </c>
      <c r="G8" s="23"/>
      <c r="H8" s="27">
        <f>SUM(H4:H7)</f>
        <v>4803345</v>
      </c>
      <c r="I8" s="23"/>
      <c r="J8" s="27">
        <f>SUM(J4:J7)</f>
        <v>4974837</v>
      </c>
      <c r="K8" s="23"/>
      <c r="L8" s="27">
        <f>SUM(L4:L7)</f>
        <v>5171700</v>
      </c>
      <c r="M8" s="23"/>
      <c r="N8" s="27">
        <f>SUM(N4:N7)</f>
        <v>4827686</v>
      </c>
      <c r="O8" s="23"/>
      <c r="P8" s="27">
        <f>SUM(P4:P7)</f>
        <v>4943189</v>
      </c>
      <c r="Q8" s="23"/>
      <c r="R8" s="27">
        <f>SUM(R4:R7)</f>
        <v>5257969</v>
      </c>
      <c r="S8" s="23"/>
      <c r="T8" s="27">
        <f>SUM(T4:T7)</f>
        <v>5358326</v>
      </c>
      <c r="U8" s="23"/>
      <c r="V8" s="27">
        <f>SUM(V4:V7)</f>
        <v>5450675</v>
      </c>
      <c r="W8" s="23"/>
      <c r="X8" s="27">
        <f>SUM(X4:X7)</f>
        <v>5827125</v>
      </c>
      <c r="Y8" s="23"/>
      <c r="Z8" s="27">
        <f>SUM(Z4:Z7)</f>
        <v>5918872</v>
      </c>
      <c r="AA8" s="23"/>
      <c r="AB8" s="27">
        <f>SUM(AB4:AB7)</f>
        <v>5806129</v>
      </c>
      <c r="AC8" s="23"/>
      <c r="AD8" s="27">
        <f>SUM(AD4:AD7)</f>
        <v>5447274</v>
      </c>
      <c r="AE8" s="23"/>
      <c r="AF8" s="27">
        <f>SUM(AF4:AF7)</f>
        <v>6200026</v>
      </c>
      <c r="AG8" s="23"/>
      <c r="AH8" s="27">
        <v>5351040</v>
      </c>
      <c r="AI8" s="23"/>
      <c r="AJ8" s="27">
        <v>4791676</v>
      </c>
      <c r="AK8" s="23"/>
      <c r="AL8" s="31">
        <f>SUM(AL4:AL7)</f>
        <v>5054077</v>
      </c>
      <c r="AM8" s="23"/>
      <c r="AN8" s="31">
        <f>SUM(AN4:AN7)</f>
        <v>5413371</v>
      </c>
      <c r="AO8" s="23"/>
      <c r="AP8" s="31">
        <v>5412606</v>
      </c>
      <c r="AQ8" s="23"/>
    </row>
    <row r="9" spans="1:43">
      <c r="A9" s="54" t="s">
        <v>115</v>
      </c>
      <c r="B9" s="27">
        <v>57997</v>
      </c>
      <c r="C9" s="23"/>
      <c r="D9" s="27">
        <v>60410</v>
      </c>
      <c r="E9" s="23"/>
      <c r="F9" s="27">
        <v>61154</v>
      </c>
      <c r="G9" s="23"/>
      <c r="H9" s="27">
        <f>63656+107</f>
        <v>63763</v>
      </c>
      <c r="I9" s="23"/>
      <c r="J9" s="27">
        <f>64676+25034+300</f>
        <v>90010</v>
      </c>
      <c r="K9" s="23"/>
      <c r="L9" s="27">
        <f>68489+45224+810</f>
        <v>114523</v>
      </c>
      <c r="M9" s="23"/>
      <c r="N9" s="27">
        <f>45178+46915+810</f>
        <v>92903</v>
      </c>
      <c r="O9" s="23"/>
      <c r="P9" s="27">
        <f>51532+45126+4871</f>
        <v>101529</v>
      </c>
      <c r="Q9" s="23"/>
      <c r="R9" s="27">
        <f>50483+45820+4871</f>
        <v>101174</v>
      </c>
      <c r="S9" s="23"/>
      <c r="T9" s="27">
        <f>44444+46306+4871</f>
        <v>95621</v>
      </c>
      <c r="U9" s="23"/>
      <c r="V9" s="27">
        <f>43199+4871</f>
        <v>48070</v>
      </c>
      <c r="W9" s="23"/>
      <c r="X9" s="27">
        <f>34593+30370</f>
        <v>64963</v>
      </c>
      <c r="Y9" s="23"/>
      <c r="Z9" s="27">
        <f>27453+30370</f>
        <v>57823</v>
      </c>
      <c r="AA9" s="23"/>
      <c r="AB9" s="27">
        <v>58248</v>
      </c>
      <c r="AC9" s="23"/>
      <c r="AD9" s="27">
        <f>31510+27692</f>
        <v>59202</v>
      </c>
      <c r="AE9" s="23"/>
      <c r="AF9" s="27">
        <f>31510+27449</f>
        <v>58959</v>
      </c>
      <c r="AG9" s="23"/>
      <c r="AH9" s="27">
        <v>46871</v>
      </c>
      <c r="AI9" s="23"/>
      <c r="AJ9" s="27">
        <v>47939</v>
      </c>
      <c r="AK9" s="23"/>
      <c r="AL9" s="31">
        <f>31510+17798</f>
        <v>49308</v>
      </c>
      <c r="AM9" s="23"/>
      <c r="AN9" s="31">
        <f>31510+18658</f>
        <v>50168</v>
      </c>
      <c r="AO9" s="23"/>
      <c r="AP9" s="31">
        <v>23004</v>
      </c>
      <c r="AQ9" s="23"/>
    </row>
    <row r="10" spans="1:43">
      <c r="A10" s="54" t="s">
        <v>25</v>
      </c>
      <c r="B10" s="27">
        <f>497614+134599</f>
        <v>632213</v>
      </c>
      <c r="C10" s="23"/>
      <c r="D10" s="27">
        <f>506418+134833</f>
        <v>641251</v>
      </c>
      <c r="E10" s="23"/>
      <c r="F10" s="27">
        <f>517258+135066</f>
        <v>652324</v>
      </c>
      <c r="G10" s="23"/>
      <c r="H10" s="27">
        <f>528447+135300</f>
        <v>663747</v>
      </c>
      <c r="I10" s="23"/>
      <c r="J10" s="27">
        <f>532158+135533</f>
        <v>667691</v>
      </c>
      <c r="K10" s="23"/>
      <c r="L10" s="27">
        <f>541020+135767</f>
        <v>676787</v>
      </c>
      <c r="M10" s="23"/>
      <c r="N10" s="27">
        <f>546019+136001</f>
        <v>682020</v>
      </c>
      <c r="O10" s="23"/>
      <c r="P10" s="27">
        <f>546137+136234</f>
        <v>682371</v>
      </c>
      <c r="Q10" s="23"/>
      <c r="R10" s="27">
        <f>544843+137575</f>
        <v>682418</v>
      </c>
      <c r="S10" s="23"/>
      <c r="T10" s="27">
        <v>685008</v>
      </c>
      <c r="U10" s="23"/>
      <c r="V10" s="27">
        <v>685093</v>
      </c>
      <c r="W10" s="23"/>
      <c r="X10" s="27">
        <v>691939</v>
      </c>
      <c r="Y10" s="23"/>
      <c r="Z10" s="27">
        <v>701894</v>
      </c>
      <c r="AA10" s="23"/>
      <c r="AB10" s="27">
        <v>702819</v>
      </c>
      <c r="AC10" s="23"/>
      <c r="AD10" s="27">
        <v>700554</v>
      </c>
      <c r="AE10" s="23"/>
      <c r="AF10" s="27">
        <v>705096</v>
      </c>
      <c r="AG10" s="23"/>
      <c r="AH10" s="27">
        <v>710381</v>
      </c>
      <c r="AI10" s="23"/>
      <c r="AJ10" s="27">
        <v>1510778</v>
      </c>
      <c r="AK10" s="23"/>
      <c r="AL10" s="31">
        <f>553226+942868</f>
        <v>1496094</v>
      </c>
      <c r="AM10" s="23"/>
      <c r="AN10" s="31">
        <f>558305+944382</f>
        <v>1502687</v>
      </c>
      <c r="AO10" s="23"/>
      <c r="AP10" s="31">
        <v>1511911</v>
      </c>
      <c r="AQ10" s="23"/>
    </row>
    <row r="11" spans="1:43">
      <c r="A11" s="54" t="s">
        <v>26</v>
      </c>
      <c r="B11" s="27">
        <v>149422</v>
      </c>
      <c r="C11" s="23"/>
      <c r="D11" s="27">
        <v>170971</v>
      </c>
      <c r="E11" s="23"/>
      <c r="F11" s="27">
        <f>319236+195177</f>
        <v>514413</v>
      </c>
      <c r="G11" s="23"/>
      <c r="H11" s="27">
        <f>319236+102633</f>
        <v>421869</v>
      </c>
      <c r="I11" s="23"/>
      <c r="J11" s="27">
        <f>319236+131457</f>
        <v>450693</v>
      </c>
      <c r="K11" s="23"/>
      <c r="L11" s="27">
        <f>319236+127616</f>
        <v>446852</v>
      </c>
      <c r="M11" s="23"/>
      <c r="N11" s="27">
        <f>319236+156449</f>
        <v>475685</v>
      </c>
      <c r="O11" s="23"/>
      <c r="P11" s="27">
        <f>319236+177255</f>
        <v>496491</v>
      </c>
      <c r="Q11" s="23"/>
      <c r="R11" s="27">
        <f>319236+203046</f>
        <v>522282</v>
      </c>
      <c r="S11" s="23"/>
      <c r="T11" s="27">
        <f>319236+229189</f>
        <v>548425</v>
      </c>
      <c r="U11" s="23"/>
      <c r="V11" s="27">
        <f>319236+157863</f>
        <v>477099</v>
      </c>
      <c r="W11" s="23"/>
      <c r="X11" s="27">
        <f>319236+182882</f>
        <v>502118</v>
      </c>
      <c r="Y11" s="23"/>
      <c r="Z11" s="27">
        <f>319236+209847</f>
        <v>529083</v>
      </c>
      <c r="AA11" s="23"/>
      <c r="AB11" s="27">
        <v>555299</v>
      </c>
      <c r="AC11" s="23"/>
      <c r="AD11" s="27">
        <v>574236</v>
      </c>
      <c r="AE11" s="23"/>
      <c r="AF11" s="27">
        <v>590958</v>
      </c>
      <c r="AG11" s="23"/>
      <c r="AH11" s="27">
        <v>612668</v>
      </c>
      <c r="AI11" s="23"/>
      <c r="AJ11" s="27">
        <v>542855</v>
      </c>
      <c r="AK11" s="23"/>
      <c r="AL11" s="31">
        <v>101039</v>
      </c>
      <c r="AM11" s="23"/>
      <c r="AN11" s="31">
        <v>112398</v>
      </c>
      <c r="AO11" s="23"/>
      <c r="AP11" s="31">
        <v>126662</v>
      </c>
      <c r="AQ11" s="23"/>
    </row>
    <row r="12" spans="1:43">
      <c r="A12" s="54" t="s">
        <v>27</v>
      </c>
      <c r="B12" s="33">
        <f>237934+10608</f>
        <v>248542</v>
      </c>
      <c r="C12" s="23"/>
      <c r="D12" s="33">
        <f>214171+10971</f>
        <v>225142</v>
      </c>
      <c r="E12" s="23"/>
      <c r="F12" s="33">
        <f>204120+10668</f>
        <v>214788</v>
      </c>
      <c r="G12" s="23"/>
      <c r="H12" s="33">
        <f>182584+10848</f>
        <v>193432</v>
      </c>
      <c r="I12" s="23"/>
      <c r="J12" s="33">
        <f>164023+11212</f>
        <v>175235</v>
      </c>
      <c r="K12" s="23"/>
      <c r="L12" s="33">
        <f>159721+12478</f>
        <v>172199</v>
      </c>
      <c r="M12" s="23"/>
      <c r="N12" s="33">
        <f>165486+12375</f>
        <v>177861</v>
      </c>
      <c r="O12" s="23"/>
      <c r="P12" s="33">
        <f>164165+11889</f>
        <v>176054</v>
      </c>
      <c r="Q12" s="23"/>
      <c r="R12" s="33">
        <f>145670+11579</f>
        <v>157249</v>
      </c>
      <c r="S12" s="23"/>
      <c r="T12" s="33">
        <f>141138+12047</f>
        <v>153185</v>
      </c>
      <c r="U12" s="23"/>
      <c r="V12" s="33">
        <f>140619+11390</f>
        <v>152009</v>
      </c>
      <c r="W12" s="23"/>
      <c r="X12" s="33">
        <f>116162+51+11444</f>
        <v>127657</v>
      </c>
      <c r="Y12" s="23"/>
      <c r="Z12" s="33">
        <f>83840+51+11628</f>
        <v>95519</v>
      </c>
      <c r="AA12" s="23"/>
      <c r="AB12" s="33">
        <v>116283</v>
      </c>
      <c r="AC12" s="23"/>
      <c r="AD12" s="33">
        <f>138928+1762+11429</f>
        <v>152119</v>
      </c>
      <c r="AE12" s="23"/>
      <c r="AF12" s="33">
        <f>157221+11334</f>
        <v>168555</v>
      </c>
      <c r="AG12" s="23"/>
      <c r="AH12" s="33">
        <v>167354</v>
      </c>
      <c r="AI12" s="23"/>
      <c r="AJ12" s="33">
        <v>165327</v>
      </c>
      <c r="AK12" s="23"/>
      <c r="AL12" s="32">
        <f>158829+7002</f>
        <v>165831</v>
      </c>
      <c r="AM12" s="23"/>
      <c r="AN12" s="32">
        <f>122482+5900</f>
        <v>128382</v>
      </c>
      <c r="AO12" s="23"/>
      <c r="AP12" s="32">
        <v>165258</v>
      </c>
      <c r="AQ12" s="23"/>
    </row>
    <row r="13" spans="1:43" s="13" customFormat="1" ht="16.5">
      <c r="A13" s="55" t="s">
        <v>28</v>
      </c>
      <c r="B13" s="34">
        <f>SUM(B8:B12)</f>
        <v>5518720</v>
      </c>
      <c r="C13" s="24"/>
      <c r="D13" s="34">
        <f>SUM(D8:D12)</f>
        <v>5777275</v>
      </c>
      <c r="E13" s="24"/>
      <c r="F13" s="34">
        <f>SUM(F8:F12)</f>
        <v>6087139</v>
      </c>
      <c r="G13" s="24"/>
      <c r="H13" s="34">
        <f>SUM(H8:H12)</f>
        <v>6146156</v>
      </c>
      <c r="I13" s="24"/>
      <c r="J13" s="34">
        <f>SUM(J8:J12)</f>
        <v>6358466</v>
      </c>
      <c r="K13" s="24"/>
      <c r="L13" s="34">
        <f>SUM(L8:L12)</f>
        <v>6582061</v>
      </c>
      <c r="M13" s="24"/>
      <c r="N13" s="34">
        <f>SUM(N8:N12)</f>
        <v>6256155</v>
      </c>
      <c r="O13" s="24"/>
      <c r="P13" s="34">
        <f>SUM(P8:P12)</f>
        <v>6399634</v>
      </c>
      <c r="Q13" s="24"/>
      <c r="R13" s="34">
        <f>SUM(R8:R12)</f>
        <v>6721092</v>
      </c>
      <c r="S13" s="24"/>
      <c r="T13" s="34">
        <f>SUM(T8:T12)</f>
        <v>6840565</v>
      </c>
      <c r="U13" s="24"/>
      <c r="V13" s="34">
        <f>SUM(V8:V12)</f>
        <v>6812946</v>
      </c>
      <c r="W13" s="24"/>
      <c r="X13" s="34">
        <f>SUM(X8:X12)</f>
        <v>7213802</v>
      </c>
      <c r="Y13" s="24"/>
      <c r="Z13" s="34">
        <f>SUM(Z8:Z12)</f>
        <v>7303191</v>
      </c>
      <c r="AA13" s="24"/>
      <c r="AB13" s="34">
        <f>SUM(AB8:AB12)</f>
        <v>7238778</v>
      </c>
      <c r="AC13" s="24"/>
      <c r="AD13" s="34">
        <f>SUM(AD8:AD12)</f>
        <v>6933385</v>
      </c>
      <c r="AE13" s="24"/>
      <c r="AF13" s="34">
        <f>SUM(AF8:AF12)</f>
        <v>7723594</v>
      </c>
      <c r="AG13" s="24"/>
      <c r="AH13" s="34">
        <f>SUM(AH8:AH12)</f>
        <v>6888314</v>
      </c>
      <c r="AI13" s="24"/>
      <c r="AJ13" s="46">
        <f>SUM(AJ8:AJ12)</f>
        <v>7058575</v>
      </c>
      <c r="AK13" s="24"/>
      <c r="AL13" s="34">
        <f>SUM(AL8:AL12)</f>
        <v>6866349</v>
      </c>
      <c r="AM13" s="24"/>
      <c r="AN13" s="34">
        <f>SUM(AN8:AN12)</f>
        <v>7207006</v>
      </c>
      <c r="AO13" s="24"/>
      <c r="AP13" s="34">
        <f>SUM(AP8:AP12)</f>
        <v>7239441</v>
      </c>
      <c r="AQ13" s="24"/>
    </row>
    <row r="14" spans="1:43">
      <c r="A14" s="54"/>
      <c r="B14" s="35"/>
      <c r="C14" s="23"/>
      <c r="D14" s="35"/>
      <c r="E14" s="23"/>
      <c r="F14" s="35"/>
      <c r="G14" s="23"/>
      <c r="H14" s="35"/>
      <c r="I14" s="23"/>
      <c r="J14" s="35"/>
      <c r="K14" s="23"/>
      <c r="L14" s="35"/>
      <c r="M14" s="23"/>
      <c r="N14" s="35"/>
      <c r="O14" s="23"/>
      <c r="P14" s="35"/>
      <c r="Q14" s="23"/>
      <c r="R14" s="35"/>
      <c r="S14" s="23"/>
      <c r="T14" s="35"/>
      <c r="U14" s="23"/>
      <c r="V14" s="35"/>
      <c r="W14" s="23"/>
      <c r="X14" s="35"/>
      <c r="Y14" s="23"/>
      <c r="Z14" s="35"/>
      <c r="AA14" s="23"/>
      <c r="AB14" s="35"/>
      <c r="AC14" s="23"/>
      <c r="AD14" s="35"/>
      <c r="AE14" s="23"/>
      <c r="AF14" s="35"/>
      <c r="AG14" s="23"/>
      <c r="AH14" s="35"/>
      <c r="AI14" s="23"/>
      <c r="AJ14" s="35"/>
      <c r="AK14" s="23"/>
      <c r="AL14" s="30"/>
      <c r="AM14" s="23"/>
      <c r="AN14" s="30"/>
      <c r="AO14" s="23"/>
      <c r="AP14" s="30"/>
      <c r="AQ14" s="23"/>
    </row>
    <row r="15" spans="1:43">
      <c r="A15" s="54" t="s">
        <v>29</v>
      </c>
      <c r="B15" s="27">
        <f>474493</f>
        <v>474493</v>
      </c>
      <c r="C15" s="23"/>
      <c r="D15" s="27">
        <v>448124</v>
      </c>
      <c r="E15" s="23"/>
      <c r="F15" s="27">
        <f>410313</f>
        <v>410313</v>
      </c>
      <c r="G15" s="23"/>
      <c r="H15" s="27">
        <f>388943</f>
        <v>388943</v>
      </c>
      <c r="I15" s="23"/>
      <c r="J15" s="27">
        <v>525708</v>
      </c>
      <c r="K15" s="23"/>
      <c r="L15" s="27">
        <v>633629</v>
      </c>
      <c r="M15" s="23"/>
      <c r="N15" s="27">
        <v>345868</v>
      </c>
      <c r="O15" s="23"/>
      <c r="P15" s="27">
        <v>324307</v>
      </c>
      <c r="Q15" s="23"/>
      <c r="R15" s="27">
        <v>451214</v>
      </c>
      <c r="S15" s="23"/>
      <c r="T15" s="27">
        <v>511217</v>
      </c>
      <c r="U15" s="23"/>
      <c r="V15" s="27">
        <v>604935</v>
      </c>
      <c r="W15" s="23"/>
      <c r="X15" s="27">
        <v>484040</v>
      </c>
      <c r="Y15" s="23"/>
      <c r="Z15" s="27">
        <v>554009</v>
      </c>
      <c r="AA15" s="23"/>
      <c r="AB15" s="27">
        <v>492527</v>
      </c>
      <c r="AC15" s="23"/>
      <c r="AD15" s="27">
        <v>456522</v>
      </c>
      <c r="AE15" s="23"/>
      <c r="AF15" s="27">
        <v>574761</v>
      </c>
      <c r="AG15" s="23"/>
      <c r="AH15" s="27">
        <v>491152</v>
      </c>
      <c r="AI15" s="23"/>
      <c r="AJ15" s="27">
        <v>643566</v>
      </c>
      <c r="AK15" s="23"/>
      <c r="AL15" s="31">
        <v>641041</v>
      </c>
      <c r="AM15" s="23"/>
      <c r="AN15" s="31">
        <v>667224</v>
      </c>
      <c r="AO15" s="23"/>
      <c r="AP15" s="31">
        <v>862357</v>
      </c>
      <c r="AQ15" s="23"/>
    </row>
    <row r="16" spans="1:43">
      <c r="A16" s="54" t="s">
        <v>30</v>
      </c>
      <c r="B16" s="27">
        <f>155+246153+43+11769+16052</f>
        <v>274172</v>
      </c>
      <c r="C16" s="23"/>
      <c r="D16" s="27">
        <f>386647+1231+11632+19990</f>
        <v>419500</v>
      </c>
      <c r="E16" s="23"/>
      <c r="F16" s="27">
        <f>360197+1843+6844+24093</f>
        <v>392977</v>
      </c>
      <c r="G16" s="23"/>
      <c r="H16" s="27">
        <f>274193+6613+7674+35826</f>
        <v>324306</v>
      </c>
      <c r="I16" s="23"/>
      <c r="J16" s="27">
        <f>261024+1357+7966+33068</f>
        <v>303415</v>
      </c>
      <c r="K16" s="23"/>
      <c r="L16" s="27">
        <f>358811+5053+7162+29340</f>
        <v>400366</v>
      </c>
      <c r="M16" s="23"/>
      <c r="N16" s="27">
        <f>332105+3182+12606+55373</f>
        <v>403266</v>
      </c>
      <c r="O16" s="23"/>
      <c r="P16" s="27">
        <f>548063+6486+12562+32422</f>
        <v>599533</v>
      </c>
      <c r="Q16" s="23"/>
      <c r="R16" s="27">
        <f>342682+38058+10372+51478</f>
        <v>442590</v>
      </c>
      <c r="S16" s="23"/>
      <c r="T16" s="27">
        <f>419264+30038+7313+59797</f>
        <v>516412</v>
      </c>
      <c r="U16" s="23"/>
      <c r="V16" s="27">
        <f>1075266-V15</f>
        <v>470331</v>
      </c>
      <c r="W16" s="23"/>
      <c r="X16" s="27">
        <f>1644198-X15</f>
        <v>1160158</v>
      </c>
      <c r="Y16" s="23"/>
      <c r="Z16" s="27">
        <f>1107829-554009</f>
        <v>553820</v>
      </c>
      <c r="AA16" s="23"/>
      <c r="AB16" s="27">
        <f>1120772-AB15</f>
        <v>628245</v>
      </c>
      <c r="AC16" s="23"/>
      <c r="AD16" s="27">
        <f>895552-AD15</f>
        <v>439030</v>
      </c>
      <c r="AE16" s="23"/>
      <c r="AF16" s="27">
        <f>1651311-AF15</f>
        <v>1076550</v>
      </c>
      <c r="AG16" s="23"/>
      <c r="AH16" s="27">
        <v>673348</v>
      </c>
      <c r="AI16" s="23"/>
      <c r="AJ16" s="27">
        <v>667797</v>
      </c>
      <c r="AK16" s="23"/>
      <c r="AL16" s="31">
        <f>1251636-AL15</f>
        <v>610595</v>
      </c>
      <c r="AM16" s="23"/>
      <c r="AN16" s="31">
        <f>1786339-667224</f>
        <v>1119115</v>
      </c>
      <c r="AO16" s="23"/>
      <c r="AP16" s="31">
        <v>648109</v>
      </c>
      <c r="AQ16" s="23"/>
    </row>
    <row r="17" spans="1:43">
      <c r="A17" s="105" t="s">
        <v>136</v>
      </c>
      <c r="B17" s="33">
        <v>12903</v>
      </c>
      <c r="C17" s="23"/>
      <c r="D17" s="33">
        <v>17626</v>
      </c>
      <c r="E17" s="23"/>
      <c r="F17" s="33">
        <v>21275</v>
      </c>
      <c r="G17" s="23"/>
      <c r="H17" s="33">
        <v>25308</v>
      </c>
      <c r="I17" s="23"/>
      <c r="J17" s="33">
        <v>30858</v>
      </c>
      <c r="K17" s="23"/>
      <c r="L17" s="33">
        <v>30148</v>
      </c>
      <c r="M17" s="23"/>
      <c r="N17" s="33">
        <v>37907</v>
      </c>
      <c r="O17" s="23"/>
      <c r="P17" s="33">
        <v>31719</v>
      </c>
      <c r="Q17" s="23"/>
      <c r="R17" s="33">
        <v>34202</v>
      </c>
      <c r="S17" s="23"/>
      <c r="T17" s="33">
        <v>38915</v>
      </c>
      <c r="U17" s="23"/>
      <c r="V17" s="33">
        <v>35734</v>
      </c>
      <c r="W17" s="23"/>
      <c r="X17" s="33">
        <v>20352</v>
      </c>
      <c r="Y17" s="23"/>
      <c r="Z17" s="33">
        <v>0</v>
      </c>
      <c r="AA17" s="23"/>
      <c r="AB17" s="33">
        <v>23331</v>
      </c>
      <c r="AC17" s="23"/>
      <c r="AD17" s="33">
        <v>38217</v>
      </c>
      <c r="AE17" s="23"/>
      <c r="AF17" s="33">
        <v>40142</v>
      </c>
      <c r="AG17" s="23"/>
      <c r="AH17" s="33">
        <v>34114</v>
      </c>
      <c r="AI17" s="23"/>
      <c r="AJ17" s="33">
        <v>34695</v>
      </c>
      <c r="AK17" s="23"/>
      <c r="AL17" s="32">
        <v>7755</v>
      </c>
      <c r="AM17" s="23"/>
      <c r="AN17" s="32">
        <v>7755</v>
      </c>
      <c r="AO17" s="23"/>
      <c r="AP17" s="32">
        <v>6808</v>
      </c>
      <c r="AQ17" s="23"/>
    </row>
    <row r="18" spans="1:43" s="13" customFormat="1" ht="16.5">
      <c r="A18" s="55" t="s">
        <v>31</v>
      </c>
      <c r="B18" s="34">
        <f>SUM(B15:B17)</f>
        <v>761568</v>
      </c>
      <c r="C18" s="24"/>
      <c r="D18" s="34">
        <f>SUM(D15:D17)</f>
        <v>885250</v>
      </c>
      <c r="E18" s="24"/>
      <c r="F18" s="34">
        <f>SUM(F15:F17)</f>
        <v>824565</v>
      </c>
      <c r="G18" s="24"/>
      <c r="H18" s="34">
        <f>SUM(H15:H17)</f>
        <v>738557</v>
      </c>
      <c r="I18" s="24"/>
      <c r="J18" s="34">
        <f>SUM(J15:J17)</f>
        <v>859981</v>
      </c>
      <c r="K18" s="24"/>
      <c r="L18" s="34">
        <f>SUM(L15:L17)</f>
        <v>1064143</v>
      </c>
      <c r="M18" s="24"/>
      <c r="N18" s="34">
        <f>SUM(N15:N17)</f>
        <v>787041</v>
      </c>
      <c r="O18" s="24"/>
      <c r="P18" s="34">
        <f>SUM(P15:P17)</f>
        <v>955559</v>
      </c>
      <c r="Q18" s="24"/>
      <c r="R18" s="34">
        <f>SUM(R15:R17)</f>
        <v>928006</v>
      </c>
      <c r="S18" s="24"/>
      <c r="T18" s="34">
        <f>SUM(T15:T17)</f>
        <v>1066544</v>
      </c>
      <c r="U18" s="24"/>
      <c r="V18" s="34">
        <f>SUM(V15:V17)</f>
        <v>1111000</v>
      </c>
      <c r="W18" s="24"/>
      <c r="X18" s="34">
        <f>SUM(X15:X17)</f>
        <v>1664550</v>
      </c>
      <c r="Y18" s="24"/>
      <c r="Z18" s="34">
        <f>SUM(Z15:Z17)</f>
        <v>1107829</v>
      </c>
      <c r="AA18" s="24"/>
      <c r="AB18" s="34">
        <f>SUM(AB15:AB17)</f>
        <v>1144103</v>
      </c>
      <c r="AC18" s="24"/>
      <c r="AD18" s="34">
        <f>SUM(AD15:AD17)</f>
        <v>933769</v>
      </c>
      <c r="AE18" s="24"/>
      <c r="AF18" s="34">
        <f>SUM(AF15:AF17)</f>
        <v>1691453</v>
      </c>
      <c r="AG18" s="24"/>
      <c r="AH18" s="34">
        <f>SUM(AH15:AH17)</f>
        <v>1198614</v>
      </c>
      <c r="AI18" s="24"/>
      <c r="AJ18" s="46">
        <f>SUM(AJ15:AJ17)</f>
        <v>1346058</v>
      </c>
      <c r="AK18" s="24"/>
      <c r="AL18" s="34">
        <f>SUM(AL15:AL17)</f>
        <v>1259391</v>
      </c>
      <c r="AM18" s="24"/>
      <c r="AN18" s="34">
        <f>SUM(AN15:AN17)</f>
        <v>1794094</v>
      </c>
      <c r="AO18" s="24"/>
      <c r="AP18" s="34">
        <f>SUM(AP15:AP17)</f>
        <v>1517274</v>
      </c>
      <c r="AQ18" s="24"/>
    </row>
    <row r="19" spans="1:43">
      <c r="A19" s="54"/>
      <c r="B19" s="35"/>
      <c r="C19" s="23"/>
      <c r="D19" s="35"/>
      <c r="E19" s="23"/>
      <c r="F19" s="35"/>
      <c r="G19" s="23"/>
      <c r="H19" s="35"/>
      <c r="I19" s="23"/>
      <c r="J19" s="35"/>
      <c r="K19" s="23"/>
      <c r="L19" s="35"/>
      <c r="M19" s="23"/>
      <c r="N19" s="35"/>
      <c r="O19" s="23"/>
      <c r="P19" s="35"/>
      <c r="Q19" s="23"/>
      <c r="R19" s="35"/>
      <c r="S19" s="23"/>
      <c r="T19" s="35"/>
      <c r="U19" s="23"/>
      <c r="V19" s="35"/>
      <c r="W19" s="23"/>
      <c r="X19" s="35"/>
      <c r="Y19" s="23"/>
      <c r="Z19" s="35"/>
      <c r="AA19" s="23"/>
      <c r="AB19" s="35"/>
      <c r="AC19" s="23"/>
      <c r="AD19" s="35"/>
      <c r="AE19" s="23"/>
      <c r="AF19" s="35"/>
      <c r="AG19" s="23"/>
      <c r="AH19" s="35"/>
      <c r="AI19" s="23"/>
      <c r="AJ19" s="35"/>
      <c r="AK19" s="23"/>
      <c r="AL19" s="30"/>
      <c r="AM19" s="23"/>
      <c r="AN19" s="30"/>
      <c r="AO19" s="23"/>
      <c r="AP19" s="30"/>
      <c r="AQ19" s="23"/>
    </row>
    <row r="20" spans="1:43" s="13" customFormat="1" ht="16.5">
      <c r="A20" s="55" t="s">
        <v>32</v>
      </c>
      <c r="B20" s="36">
        <v>4757152</v>
      </c>
      <c r="C20" s="24"/>
      <c r="D20" s="36">
        <v>4892025</v>
      </c>
      <c r="E20" s="24"/>
      <c r="F20" s="36">
        <v>5262574</v>
      </c>
      <c r="G20" s="24"/>
      <c r="H20" s="36">
        <v>5407599</v>
      </c>
      <c r="I20" s="24"/>
      <c r="J20" s="36">
        <v>5498485</v>
      </c>
      <c r="K20" s="24"/>
      <c r="L20" s="36">
        <v>5517918</v>
      </c>
      <c r="M20" s="24"/>
      <c r="N20" s="36">
        <v>5469114</v>
      </c>
      <c r="O20" s="24"/>
      <c r="P20" s="36">
        <v>5444075</v>
      </c>
      <c r="Q20" s="24"/>
      <c r="R20" s="36">
        <v>5793086</v>
      </c>
      <c r="S20" s="24"/>
      <c r="T20" s="36">
        <v>5774021</v>
      </c>
      <c r="U20" s="24"/>
      <c r="V20" s="36">
        <v>5701946</v>
      </c>
      <c r="W20" s="24"/>
      <c r="X20" s="36">
        <v>5549252</v>
      </c>
      <c r="Y20" s="24"/>
      <c r="Z20" s="36">
        <v>6195362</v>
      </c>
      <c r="AA20" s="24"/>
      <c r="AB20" s="36">
        <v>6094675</v>
      </c>
      <c r="AC20" s="24"/>
      <c r="AD20" s="36">
        <v>5999616</v>
      </c>
      <c r="AE20" s="24"/>
      <c r="AF20" s="36">
        <v>6032141</v>
      </c>
      <c r="AG20" s="24"/>
      <c r="AH20" s="36">
        <v>5689700</v>
      </c>
      <c r="AI20" s="24"/>
      <c r="AJ20" s="36">
        <v>5712517</v>
      </c>
      <c r="AK20" s="24"/>
      <c r="AL20" s="42">
        <v>5606958</v>
      </c>
      <c r="AM20" s="24"/>
      <c r="AN20" s="42">
        <v>5412912</v>
      </c>
      <c r="AO20" s="24"/>
      <c r="AP20" s="42">
        <v>5722167</v>
      </c>
      <c r="AQ20" s="24"/>
    </row>
    <row r="21" spans="1:43">
      <c r="A21" s="54"/>
      <c r="B21" s="35"/>
      <c r="C21" s="23"/>
      <c r="D21" s="35"/>
      <c r="E21" s="23"/>
      <c r="F21" s="35"/>
      <c r="G21" s="23"/>
      <c r="H21" s="35"/>
      <c r="I21" s="23"/>
      <c r="J21" s="35"/>
      <c r="K21" s="23"/>
      <c r="L21" s="35"/>
      <c r="M21" s="23"/>
      <c r="N21" s="35"/>
      <c r="O21" s="23"/>
      <c r="P21" s="35"/>
      <c r="Q21" s="23"/>
      <c r="R21" s="35"/>
      <c r="S21" s="23"/>
      <c r="T21" s="35"/>
      <c r="U21" s="23"/>
      <c r="V21" s="35"/>
      <c r="W21" s="23"/>
      <c r="X21" s="35"/>
      <c r="Y21" s="23"/>
      <c r="Z21" s="35"/>
      <c r="AA21" s="23"/>
      <c r="AB21" s="35"/>
      <c r="AC21" s="23"/>
      <c r="AD21" s="35"/>
      <c r="AE21" s="23"/>
      <c r="AF21" s="35"/>
      <c r="AG21" s="23"/>
      <c r="AH21" s="35"/>
      <c r="AI21" s="23"/>
      <c r="AJ21" s="35"/>
      <c r="AK21" s="23"/>
      <c r="AL21" s="30"/>
      <c r="AM21" s="23"/>
      <c r="AN21" s="30"/>
      <c r="AO21" s="23"/>
      <c r="AP21" s="30"/>
      <c r="AQ21" s="23"/>
    </row>
    <row r="22" spans="1:43" ht="16.5">
      <c r="A22" s="55" t="s">
        <v>33</v>
      </c>
      <c r="B22" s="37"/>
      <c r="D22" s="37"/>
      <c r="F22" s="37"/>
      <c r="H22" s="37"/>
      <c r="J22" s="37"/>
      <c r="L22" s="37"/>
      <c r="N22" s="37"/>
      <c r="P22" s="37"/>
      <c r="R22" s="37"/>
      <c r="T22" s="37"/>
      <c r="V22" s="37"/>
      <c r="X22" s="37"/>
      <c r="Z22" s="37"/>
      <c r="AB22" s="37"/>
      <c r="AD22" s="37"/>
      <c r="AF22" s="37"/>
      <c r="AH22" s="37"/>
      <c r="AJ22" s="37"/>
      <c r="AL22" s="43"/>
      <c r="AN22" s="43"/>
      <c r="AP22" s="43"/>
    </row>
    <row r="23" spans="1:43">
      <c r="A23" s="54" t="s">
        <v>99</v>
      </c>
      <c r="B23" s="38">
        <f>B32</f>
        <v>30.491550523340369</v>
      </c>
      <c r="D23" s="38">
        <f>D32</f>
        <v>24.080828003569479</v>
      </c>
      <c r="F23" s="38">
        <f>F32</f>
        <v>22.312422791407514</v>
      </c>
      <c r="H23" s="38">
        <f>H32</f>
        <v>23.189700578808164</v>
      </c>
      <c r="J23" s="38">
        <f>J32</f>
        <v>22.290984541669044</v>
      </c>
      <c r="L23" s="38">
        <f>L32</f>
        <v>20.140062003334211</v>
      </c>
      <c r="N23" s="38">
        <f>N32</f>
        <v>18.327496298474237</v>
      </c>
      <c r="P23" s="38">
        <f>P32</f>
        <v>22.590349058824422</v>
      </c>
      <c r="R23" s="38">
        <f>R32</f>
        <v>16.616898746002263</v>
      </c>
      <c r="T23" s="38">
        <f>T32</f>
        <v>18.299764344580591</v>
      </c>
      <c r="V23" s="38">
        <f>V32</f>
        <v>15.731708016019143</v>
      </c>
      <c r="X23" s="38">
        <f>X32</f>
        <v>19.131978385076067</v>
      </c>
      <c r="Z23" s="38">
        <f>Z32</f>
        <v>33.616932754528307</v>
      </c>
      <c r="AB23" s="38">
        <f>AB32</f>
        <v>39.082731074227219</v>
      </c>
      <c r="AC23" s="38"/>
      <c r="AD23" s="38">
        <f t="shared" ref="AD23:AP23" si="0">AD32</f>
        <v>37.175505593143335</v>
      </c>
      <c r="AE23" s="38"/>
      <c r="AF23" s="38">
        <f t="shared" si="0"/>
        <v>34.582520836321414</v>
      </c>
      <c r="AG23" s="38"/>
      <c r="AH23" s="38">
        <f t="shared" si="0"/>
        <v>50.586099856114103</v>
      </c>
      <c r="AI23" s="79"/>
      <c r="AJ23" s="79">
        <f t="shared" si="0"/>
        <v>49.209240890645518</v>
      </c>
      <c r="AK23" s="38"/>
      <c r="AL23" s="38">
        <f t="shared" si="0"/>
        <v>41.125500228325073</v>
      </c>
      <c r="AM23" s="38"/>
      <c r="AN23" s="38">
        <f t="shared" si="0"/>
        <v>38.54564717690721</v>
      </c>
      <c r="AO23" s="38"/>
      <c r="AP23" s="38">
        <f t="shared" si="0"/>
        <v>39.067829513110084</v>
      </c>
      <c r="AQ23" s="48"/>
    </row>
    <row r="24" spans="1:43">
      <c r="A24" s="54" t="s">
        <v>98</v>
      </c>
      <c r="B24" s="38">
        <f>B39</f>
        <v>93.786179173047472</v>
      </c>
      <c r="D24" s="38">
        <f>D39</f>
        <v>99.078593832559505</v>
      </c>
      <c r="F24" s="38">
        <f>F39</f>
        <v>108.790634234156</v>
      </c>
      <c r="H24" s="38">
        <f>H39</f>
        <v>110.12059994489324</v>
      </c>
      <c r="J24" s="38">
        <f>J39</f>
        <v>78.5985715217533</v>
      </c>
      <c r="L24" s="38">
        <f>L39</f>
        <v>57.663450439884507</v>
      </c>
      <c r="N24" s="38">
        <f>N39</f>
        <v>72.475018502444158</v>
      </c>
      <c r="P24" s="38">
        <f>P39</f>
        <v>111.2589239889617</v>
      </c>
      <c r="R24" s="38">
        <f>R39</f>
        <v>84.733007602482587</v>
      </c>
      <c r="T24" s="38">
        <f>T39</f>
        <v>68.516941168921704</v>
      </c>
      <c r="V24" s="38">
        <f>V39</f>
        <v>61.672830055352733</v>
      </c>
      <c r="X24" s="38">
        <f>X39</f>
        <v>83.084539576127355</v>
      </c>
      <c r="Z24" s="38">
        <f>Z39</f>
        <v>65.805287105629304</v>
      </c>
      <c r="AB24" s="38">
        <f>AB39</f>
        <v>58.255029273759092</v>
      </c>
      <c r="AC24" s="38"/>
      <c r="AD24" s="38">
        <f t="shared" ref="AD24:AJ24" si="1">AD39</f>
        <v>75.171943356940005</v>
      </c>
      <c r="AE24" s="38"/>
      <c r="AF24" s="38">
        <f t="shared" si="1"/>
        <v>91.654103797751162</v>
      </c>
      <c r="AG24" s="38"/>
      <c r="AH24" s="38">
        <f t="shared" si="1"/>
        <v>95.023961070395018</v>
      </c>
      <c r="AI24" s="79"/>
      <c r="AJ24" s="79">
        <f t="shared" si="1"/>
        <v>61.838155750361565</v>
      </c>
      <c r="AL24" s="38">
        <f>AL38</f>
        <v>51.80943019477013</v>
      </c>
      <c r="AM24" s="48"/>
      <c r="AN24" s="38">
        <f>AN38</f>
        <v>45.484175414189963</v>
      </c>
      <c r="AO24" s="48"/>
      <c r="AP24" s="38">
        <v>34.382757275674379</v>
      </c>
      <c r="AQ24" s="48"/>
    </row>
    <row r="25" spans="1:43">
      <c r="A25" s="54" t="s">
        <v>34</v>
      </c>
      <c r="B25" s="39">
        <f>(B4+B5+B6+B7)/(B15+B16)</f>
        <v>5.9179285795382448</v>
      </c>
      <c r="D25" s="39">
        <f>(D4+D5+D6+D7)/(D15+D16)</f>
        <v>5.3934665246696722</v>
      </c>
      <c r="F25" s="39">
        <f>(F4+F5+F6+F7)/(F15+F16)</f>
        <v>5.781797358363729</v>
      </c>
      <c r="H25" s="39">
        <f>(H4+H5+H6+H7)/(H15+H16)</f>
        <v>6.734457391457962</v>
      </c>
      <c r="J25" s="39">
        <f>(J4+J5+J6+J7)/(J15+J16)</f>
        <v>6.0001194032730973</v>
      </c>
      <c r="L25" s="39">
        <f>(L4+L5+L6+L7)/(L15+L16)</f>
        <v>5.0016682865971305</v>
      </c>
      <c r="N25" s="39">
        <f>(N4+N5+N6+N7)/(N15+N16)</f>
        <v>6.4443557494386852</v>
      </c>
      <c r="P25" s="39">
        <f>(P4+P5+P6+P7)/(P15+P16)</f>
        <v>5.3506981728437824</v>
      </c>
      <c r="R25" s="39">
        <f>(R4+R5+R6+R7)/(R15+R16)</f>
        <v>5.8826868082935411</v>
      </c>
      <c r="T25" s="39">
        <f>(T4+T5+T6+T7)/(T15+T16)</f>
        <v>5.2142611779153762</v>
      </c>
      <c r="V25" s="39">
        <f>(V4+V5+V6+V7)/(V15+V16)</f>
        <v>5.0691410311495018</v>
      </c>
      <c r="X25" s="39">
        <f>(X4+X5+X6+X7)/(X15+X16)</f>
        <v>3.544053088496641</v>
      </c>
      <c r="Z25" s="39">
        <f>(Z4+Z5+Z6+Z7)/(Z15+Z16)</f>
        <v>5.3427667988471148</v>
      </c>
      <c r="AB25" s="39">
        <f>AB41</f>
        <v>5.1804729240202292</v>
      </c>
      <c r="AD25" s="39">
        <f>(AD4+AD5+AD6+AD7)/(AD15+AD16)</f>
        <v>6.0825881690845423</v>
      </c>
      <c r="AF25" s="39">
        <f>(AF4+AF5+AF6+AF7)/(AF15+AF16)</f>
        <v>3.754608308186647</v>
      </c>
      <c r="AH25" s="39">
        <f>(AH4+AH5+AH6+AH7)/(AH15+AH16)</f>
        <v>4.5951395448690429</v>
      </c>
      <c r="AJ25" s="47">
        <v>3.6539661405728237</v>
      </c>
      <c r="AL25" s="39">
        <f>(AL4+AL5+AL6+AL7)/(AL15+AL16)</f>
        <v>4.0379766961001442</v>
      </c>
      <c r="AM25" s="49"/>
      <c r="AN25" s="39">
        <f>(AN4+AN5+AN6+AN7)/(AN15+AN16)</f>
        <v>3.0304275952100919</v>
      </c>
      <c r="AO25" s="49"/>
      <c r="AP25" s="39">
        <v>3.583401413868303</v>
      </c>
      <c r="AQ25" s="49"/>
    </row>
    <row r="27" spans="1:43">
      <c r="A27" s="20" t="s">
        <v>2</v>
      </c>
      <c r="B27" s="40">
        <v>754958</v>
      </c>
      <c r="D27" s="40">
        <v>831494</v>
      </c>
      <c r="F27" s="40">
        <v>790877</v>
      </c>
      <c r="H27" s="40">
        <v>796637</v>
      </c>
      <c r="J27" s="40">
        <v>981736</v>
      </c>
      <c r="L27" s="40">
        <v>1110908</v>
      </c>
      <c r="N27" s="40">
        <v>952310</v>
      </c>
      <c r="P27" s="40">
        <v>658485</v>
      </c>
      <c r="R27" s="40">
        <v>909890</v>
      </c>
      <c r="T27" s="40">
        <v>1126645</v>
      </c>
      <c r="V27" s="40">
        <v>1395830</v>
      </c>
      <c r="X27" s="40">
        <v>1016890</v>
      </c>
      <c r="Z27" s="40">
        <v>1108030</v>
      </c>
      <c r="AB27" s="40">
        <f>季度簡明合併損益表!AB3</f>
        <v>1280595</v>
      </c>
      <c r="AD27" s="40">
        <v>1058707</v>
      </c>
      <c r="AF27" s="40">
        <v>955183</v>
      </c>
      <c r="AH27" s="40">
        <v>861099</v>
      </c>
      <c r="AJ27" s="40">
        <v>1184085</v>
      </c>
      <c r="AL27" s="44">
        <v>1221942</v>
      </c>
      <c r="AM27" s="28"/>
      <c r="AN27" s="44">
        <v>1291208</v>
      </c>
      <c r="AO27" s="28"/>
      <c r="AP27" s="44">
        <v>1425353</v>
      </c>
      <c r="AQ27" s="28"/>
    </row>
    <row r="28" spans="1:43">
      <c r="A28" s="21" t="s">
        <v>4</v>
      </c>
      <c r="B28" s="40">
        <v>275981</v>
      </c>
      <c r="D28" s="40">
        <v>241627</v>
      </c>
      <c r="F28" s="40">
        <v>210666</v>
      </c>
      <c r="H28" s="40">
        <v>201292</v>
      </c>
      <c r="J28" s="40">
        <v>221960</v>
      </c>
      <c r="L28" s="40">
        <v>265059</v>
      </c>
      <c r="N28" s="40">
        <v>227414</v>
      </c>
      <c r="P28" s="40">
        <v>158088</v>
      </c>
      <c r="R28" s="40">
        <v>174977</v>
      </c>
      <c r="T28" s="40">
        <v>167238</v>
      </c>
      <c r="V28" s="40">
        <f>287475</f>
        <v>287475</v>
      </c>
      <c r="X28" s="40">
        <f>193296+3688</f>
        <v>196984</v>
      </c>
      <c r="Z28" s="40">
        <v>238069</v>
      </c>
      <c r="AB28" s="40">
        <v>596288</v>
      </c>
      <c r="AD28" s="40">
        <v>501178</v>
      </c>
      <c r="AF28" s="40">
        <v>361040</v>
      </c>
      <c r="AH28" s="40">
        <v>364952</v>
      </c>
      <c r="AJ28" s="40">
        <v>603040</v>
      </c>
      <c r="AL28" s="44">
        <v>663654</v>
      </c>
      <c r="AM28" s="28"/>
      <c r="AN28" s="44">
        <v>428802</v>
      </c>
      <c r="AO28" s="28"/>
      <c r="AP28" s="44">
        <f>AP5</f>
        <v>665054</v>
      </c>
      <c r="AQ28" s="28"/>
    </row>
    <row r="29" spans="1:43">
      <c r="A29" s="21" t="s">
        <v>92</v>
      </c>
      <c r="B29" s="40">
        <v>272793</v>
      </c>
      <c r="D29" s="40">
        <v>238759</v>
      </c>
      <c r="F29" s="40">
        <v>196525</v>
      </c>
      <c r="H29" s="40">
        <v>187092</v>
      </c>
      <c r="J29" s="40">
        <v>218925</v>
      </c>
      <c r="L29" s="40">
        <v>262039</v>
      </c>
      <c r="N29" s="40">
        <v>224347</v>
      </c>
      <c r="P29" s="40">
        <v>155076</v>
      </c>
      <c r="R29" s="40">
        <v>171856</v>
      </c>
      <c r="T29" s="40">
        <v>164134</v>
      </c>
      <c r="V29" s="40">
        <v>284069</v>
      </c>
      <c r="X29" s="40">
        <v>193296</v>
      </c>
      <c r="Z29" s="40">
        <v>234289</v>
      </c>
      <c r="AB29" s="40">
        <v>593457</v>
      </c>
      <c r="AD29" s="40">
        <v>494568</v>
      </c>
      <c r="AF29" s="40">
        <v>361040</v>
      </c>
      <c r="AH29" s="40">
        <v>364952</v>
      </c>
      <c r="AJ29" s="40">
        <v>603040</v>
      </c>
      <c r="AL29" s="44">
        <v>663654</v>
      </c>
      <c r="AM29" s="28"/>
      <c r="AN29" s="44">
        <v>428802</v>
      </c>
      <c r="AO29" s="28"/>
      <c r="AP29" s="44">
        <v>665054</v>
      </c>
      <c r="AQ29" s="28"/>
    </row>
    <row r="30" spans="1:43">
      <c r="A30" s="20" t="s">
        <v>5</v>
      </c>
      <c r="B30" s="40">
        <f>31+28+31</f>
        <v>90</v>
      </c>
      <c r="D30" s="40">
        <f>31+31+30</f>
        <v>92</v>
      </c>
      <c r="F30" s="40">
        <f>31+31+30</f>
        <v>92</v>
      </c>
      <c r="H30" s="40">
        <f>30+31+30</f>
        <v>91</v>
      </c>
      <c r="J30" s="40">
        <f>31+29+31</f>
        <v>91</v>
      </c>
      <c r="L30" s="40">
        <f>31+31+30</f>
        <v>92</v>
      </c>
      <c r="N30" s="40">
        <f>31+31+30</f>
        <v>92</v>
      </c>
      <c r="P30" s="40">
        <f>30+31+30</f>
        <v>91</v>
      </c>
      <c r="R30" s="40">
        <f>31+28+31</f>
        <v>90</v>
      </c>
      <c r="T30" s="40">
        <f>31+31+30</f>
        <v>92</v>
      </c>
      <c r="V30" s="40">
        <f>31+31+30</f>
        <v>92</v>
      </c>
      <c r="X30" s="40">
        <f>30+31+30</f>
        <v>91</v>
      </c>
      <c r="Z30" s="40">
        <f>31+28+31</f>
        <v>90</v>
      </c>
      <c r="AB30" s="40">
        <v>92</v>
      </c>
      <c r="AC30" s="40"/>
      <c r="AD30" s="40">
        <v>92</v>
      </c>
      <c r="AF30" s="40">
        <v>91</v>
      </c>
      <c r="AH30" s="40">
        <f>31+28+31</f>
        <v>90</v>
      </c>
      <c r="AJ30" s="40">
        <v>92</v>
      </c>
      <c r="AL30" s="40">
        <v>92</v>
      </c>
      <c r="AM30" s="28"/>
      <c r="AN30" s="44">
        <v>91</v>
      </c>
      <c r="AO30" s="28"/>
      <c r="AP30" s="44">
        <f>31+29+31</f>
        <v>91</v>
      </c>
      <c r="AQ30" s="28"/>
    </row>
    <row r="31" spans="1:43">
      <c r="A31" s="20" t="s">
        <v>93</v>
      </c>
      <c r="B31" s="40">
        <f>B30/(B27/((B28+D28)/2))</f>
        <v>30.852524246381918</v>
      </c>
      <c r="D31" s="40">
        <f>D30/(D27/((D28+F28)/2))</f>
        <v>25.021801720758056</v>
      </c>
      <c r="F31" s="40">
        <f>F30/(F27/((F28+H28)/2))</f>
        <v>23.960828295676823</v>
      </c>
      <c r="H31" s="40">
        <f>H30/(H27/((H28+J28)/2))</f>
        <v>24.174079285797671</v>
      </c>
      <c r="J31" s="40">
        <f>J30/(J27/((J28+L28)/2))</f>
        <v>22.571612429410759</v>
      </c>
      <c r="L31" s="40">
        <f>L30/(L27/((L28+N28)/2))</f>
        <v>20.392109877685641</v>
      </c>
      <c r="N31" s="40">
        <f>N30/(N27/((N28+P28)/2))</f>
        <v>18.621133874473649</v>
      </c>
      <c r="P31" s="40">
        <f>P30/(P27/((P28+R28)/2))</f>
        <v>23.014127125143322</v>
      </c>
      <c r="R31" s="40">
        <f>R30/(R27/((R28+T28)/2))</f>
        <v>16.924765631010342</v>
      </c>
      <c r="T31" s="40">
        <f>T30/(T27/((T28+V28)/2))</f>
        <v>18.565562355489085</v>
      </c>
      <c r="V31" s="40">
        <f>V30/(V27/((V28+X28)/2))</f>
        <v>15.965492932520435</v>
      </c>
      <c r="X31" s="40">
        <f>X30/(X27/((X28+Z28)/2))</f>
        <v>19.466128588146209</v>
      </c>
      <c r="Z31" s="40">
        <f>Z30/(Z27/((Z28+AB28)/2))</f>
        <v>33.885422777361626</v>
      </c>
      <c r="AB31" s="40">
        <f>$AB$30/($AB$27/((AB28+AD28)/2))</f>
        <v>39.421859370058449</v>
      </c>
      <c r="AD31" s="40">
        <f>AD30/(AD27/((AD28+AF28)/2))</f>
        <v>37.462704978809057</v>
      </c>
      <c r="AF31" s="40">
        <f>AF30/(AF27/((AF28+AH28)/2))</f>
        <v>34.582520836321414</v>
      </c>
      <c r="AH31" s="40">
        <f>AH30/(AH27/((AH28+AJ28)/2))</f>
        <v>50.586099856114103</v>
      </c>
      <c r="AJ31" s="40">
        <f>AJ30/(AJ27/((AJ28+AL28)/2))</f>
        <v>49.209240890645518</v>
      </c>
      <c r="AL31" s="40">
        <f>AL30/(AL27/((AL28+AN28)/2))</f>
        <v>41.125500228325073</v>
      </c>
      <c r="AM31" s="28"/>
      <c r="AN31" s="44">
        <v>38.54564717690721</v>
      </c>
      <c r="AO31" s="28"/>
      <c r="AP31" s="44">
        <f>AP30/(AP27/((AP28+558802)/2))</f>
        <v>39.067829513110084</v>
      </c>
      <c r="AQ31" s="28"/>
    </row>
    <row r="32" spans="1:43">
      <c r="A32" s="20" t="s">
        <v>94</v>
      </c>
      <c r="B32" s="40">
        <f>B30/(B27/((B29+D29)/2))</f>
        <v>30.491550523340369</v>
      </c>
      <c r="D32" s="40">
        <f>D30/(D27/((D29+F29)/2))</f>
        <v>24.080828003569479</v>
      </c>
      <c r="F32" s="40">
        <f>F30/(F27/((F29+H29)/2))</f>
        <v>22.312422791407514</v>
      </c>
      <c r="H32" s="40">
        <f>H30/(H27/((H29+J29)/2))</f>
        <v>23.189700578808164</v>
      </c>
      <c r="J32" s="40">
        <f>J30/(J27/((J29+L29)/2))</f>
        <v>22.290984541669044</v>
      </c>
      <c r="L32" s="40">
        <f>L30/(L27/((L29+N29)/2))</f>
        <v>20.140062003334211</v>
      </c>
      <c r="N32" s="40">
        <f>N30/(N27/((N29+P29)/2))</f>
        <v>18.327496298474237</v>
      </c>
      <c r="P32" s="40">
        <f>P30/(P27/((P29+R29)/2))</f>
        <v>22.590349058824422</v>
      </c>
      <c r="R32" s="40">
        <f>R30/(R27/((R29+T29)/2))</f>
        <v>16.616898746002263</v>
      </c>
      <c r="T32" s="40">
        <f>T30/(T27/((T29+V29)/2))</f>
        <v>18.299764344580591</v>
      </c>
      <c r="V32" s="40">
        <f>V30/(V27/((V29+X29)/2))</f>
        <v>15.731708016019143</v>
      </c>
      <c r="X32" s="40">
        <f>X30/(X27/((X29+Z29)/2))</f>
        <v>19.131978385076067</v>
      </c>
      <c r="Z32" s="40">
        <f>Z30/(Z27/((Z29+AB29)/2))</f>
        <v>33.616932754528307</v>
      </c>
      <c r="AB32" s="40">
        <f>AB30/(AB27/((AB29+AD29)/2))</f>
        <v>39.082731074227219</v>
      </c>
      <c r="AC32" s="40"/>
      <c r="AD32" s="40">
        <f>AD30/(AD27/((AD29+AF29)/2))</f>
        <v>37.175505593143335</v>
      </c>
      <c r="AE32" s="40"/>
      <c r="AF32" s="40">
        <f>AF30/(AF27/((AF29+AH29)/2))</f>
        <v>34.582520836321414</v>
      </c>
      <c r="AG32" s="40"/>
      <c r="AH32" s="40">
        <f>AH30/(AH27/((AH29+AJ29)/2))</f>
        <v>50.586099856114103</v>
      </c>
      <c r="AI32" s="40"/>
      <c r="AJ32" s="40">
        <f>AJ30/(AJ27/((AJ29+AL29)/2))</f>
        <v>49.209240890645518</v>
      </c>
      <c r="AK32" s="40"/>
      <c r="AL32" s="40">
        <f>AL30/(AL27/((AL29+AN29)/2))</f>
        <v>41.125500228325073</v>
      </c>
      <c r="AM32" s="40"/>
      <c r="AN32" s="40">
        <f>AN30/(AN27/((AN29+AP29)/2))</f>
        <v>38.54564717690721</v>
      </c>
      <c r="AO32" s="40"/>
      <c r="AP32" s="40">
        <f>AP30/(AP27/((AP29+558802)/2))</f>
        <v>39.067829513110084</v>
      </c>
      <c r="AQ32" s="28"/>
    </row>
    <row r="33" spans="1:43">
      <c r="B33" s="40"/>
      <c r="D33" s="40"/>
      <c r="F33" s="40"/>
      <c r="H33" s="40"/>
      <c r="J33" s="40"/>
      <c r="L33" s="40"/>
      <c r="N33" s="40"/>
      <c r="P33" s="40"/>
      <c r="R33" s="40"/>
      <c r="T33" s="40"/>
      <c r="V33" s="40"/>
      <c r="X33" s="40"/>
      <c r="Z33" s="40"/>
      <c r="AB33" s="40"/>
      <c r="AD33" s="40"/>
      <c r="AF33" s="40"/>
      <c r="AH33" s="40"/>
      <c r="AJ33" s="40"/>
      <c r="AL33" s="44"/>
      <c r="AM33" s="28"/>
      <c r="AN33" s="44"/>
      <c r="AO33" s="28"/>
      <c r="AP33" s="44"/>
      <c r="AQ33" s="28"/>
    </row>
    <row r="34" spans="1:43">
      <c r="A34" s="20" t="s">
        <v>0</v>
      </c>
      <c r="B34" s="40">
        <v>548520</v>
      </c>
      <c r="D34" s="40">
        <v>533706</v>
      </c>
      <c r="F34" s="40">
        <v>506611</v>
      </c>
      <c r="H34" s="40">
        <v>500846</v>
      </c>
      <c r="J34" s="40">
        <v>613240</v>
      </c>
      <c r="L34" s="40">
        <v>646306</v>
      </c>
      <c r="N34" s="40">
        <v>547225</v>
      </c>
      <c r="P34" s="40">
        <v>403323</v>
      </c>
      <c r="R34" s="40">
        <v>530090</v>
      </c>
      <c r="T34" s="40">
        <v>685726</v>
      </c>
      <c r="V34" s="40">
        <v>798154</v>
      </c>
      <c r="X34" s="40">
        <v>542663</v>
      </c>
      <c r="Z34" s="40">
        <v>558453</v>
      </c>
      <c r="AB34" s="40">
        <f>-季度簡明合併損益表!AB4</f>
        <v>667492</v>
      </c>
      <c r="AD34" s="40">
        <v>617622</v>
      </c>
      <c r="AF34" s="40">
        <v>519202</v>
      </c>
      <c r="AH34" s="40">
        <v>473059</v>
      </c>
      <c r="AJ34" s="40">
        <v>654098</v>
      </c>
      <c r="AL34" s="44">
        <v>648046</v>
      </c>
      <c r="AM34" s="28"/>
      <c r="AN34" s="44">
        <v>664188</v>
      </c>
      <c r="AO34" s="28"/>
      <c r="AP34" s="44">
        <v>733231</v>
      </c>
      <c r="AQ34" s="28"/>
    </row>
    <row r="35" spans="1:43">
      <c r="A35" s="21" t="s">
        <v>1</v>
      </c>
      <c r="B35" s="40">
        <v>708281</v>
      </c>
      <c r="D35" s="40">
        <v>657097</v>
      </c>
      <c r="F35" s="40">
        <v>691653</v>
      </c>
      <c r="H35" s="40">
        <v>691264</v>
      </c>
      <c r="J35" s="40">
        <v>692528</v>
      </c>
      <c r="L35" s="40">
        <v>532962</v>
      </c>
      <c r="N35" s="40">
        <f>362042+124978</f>
        <v>487020</v>
      </c>
      <c r="P35" s="40">
        <v>645596</v>
      </c>
      <c r="R35" s="40">
        <v>609515</v>
      </c>
      <c r="T35" s="40">
        <v>643190</v>
      </c>
      <c r="V35" s="40">
        <f>509343+126536</f>
        <v>635879</v>
      </c>
      <c r="X35" s="40">
        <f>560753+103259</f>
        <v>664012</v>
      </c>
      <c r="Z35" s="40">
        <v>526690</v>
      </c>
      <c r="AB35" s="40">
        <v>475640</v>
      </c>
      <c r="AD35" s="40">
        <v>586410</v>
      </c>
      <c r="AF35" s="40">
        <v>658531</v>
      </c>
      <c r="AH35" s="40">
        <v>572942</v>
      </c>
      <c r="AJ35" s="40">
        <v>576040</v>
      </c>
      <c r="AL35" s="44">
        <v>401095</v>
      </c>
      <c r="AM35" s="28"/>
      <c r="AN35" s="44">
        <v>328794</v>
      </c>
      <c r="AO35" s="28"/>
      <c r="AP35" s="44">
        <v>335163</v>
      </c>
      <c r="AQ35" s="28"/>
    </row>
    <row r="36" spans="1:43">
      <c r="A36" s="21" t="s">
        <v>97</v>
      </c>
      <c r="B36" s="40">
        <v>590828</v>
      </c>
      <c r="D36" s="40">
        <v>552363</v>
      </c>
      <c r="F36" s="40">
        <v>597177</v>
      </c>
      <c r="H36" s="40">
        <v>600965</v>
      </c>
      <c r="J36" s="40">
        <v>611199</v>
      </c>
      <c r="L36" s="40">
        <v>448137</v>
      </c>
      <c r="N36" s="40">
        <v>362042</v>
      </c>
      <c r="P36" s="40">
        <v>500135</v>
      </c>
      <c r="R36" s="40">
        <v>486091</v>
      </c>
      <c r="T36" s="40">
        <v>512045</v>
      </c>
      <c r="V36" s="40">
        <f>509343</f>
        <v>509343</v>
      </c>
      <c r="X36" s="40">
        <v>560753</v>
      </c>
      <c r="Z36" s="40">
        <f>Z6</f>
        <v>430168</v>
      </c>
      <c r="AB36" s="40">
        <f>AB6</f>
        <v>386480</v>
      </c>
      <c r="AC36" s="40">
        <f t="shared" ref="AC36:AN36" si="2">AC6</f>
        <v>0</v>
      </c>
      <c r="AD36" s="40">
        <f t="shared" si="2"/>
        <v>458841</v>
      </c>
      <c r="AE36" s="40"/>
      <c r="AF36" s="40">
        <f t="shared" si="2"/>
        <v>550460</v>
      </c>
      <c r="AG36" s="40"/>
      <c r="AH36" s="40">
        <f t="shared" si="2"/>
        <v>495408</v>
      </c>
      <c r="AI36" s="40"/>
      <c r="AJ36" s="40">
        <f t="shared" si="2"/>
        <v>503524</v>
      </c>
      <c r="AK36" s="40">
        <f t="shared" si="2"/>
        <v>0</v>
      </c>
      <c r="AL36" s="40">
        <f t="shared" si="2"/>
        <v>375785</v>
      </c>
      <c r="AM36" s="40"/>
      <c r="AN36" s="40">
        <f t="shared" si="2"/>
        <v>311444</v>
      </c>
      <c r="AO36" s="28"/>
      <c r="AP36" s="44"/>
      <c r="AQ36" s="28"/>
    </row>
    <row r="37" spans="1:43">
      <c r="A37" s="20" t="s">
        <v>5</v>
      </c>
      <c r="B37" s="40">
        <f>B30</f>
        <v>90</v>
      </c>
      <c r="D37" s="40">
        <f>D30</f>
        <v>92</v>
      </c>
      <c r="F37" s="40">
        <f>F30</f>
        <v>92</v>
      </c>
      <c r="H37" s="40">
        <f>H30</f>
        <v>91</v>
      </c>
      <c r="J37" s="40">
        <f>J30</f>
        <v>91</v>
      </c>
      <c r="L37" s="40">
        <f>L30</f>
        <v>92</v>
      </c>
      <c r="N37" s="40">
        <f>N30</f>
        <v>92</v>
      </c>
      <c r="P37" s="40">
        <f>P30</f>
        <v>91</v>
      </c>
      <c r="R37" s="40">
        <f>R30</f>
        <v>90</v>
      </c>
      <c r="T37" s="40">
        <f>T30</f>
        <v>92</v>
      </c>
      <c r="V37" s="40">
        <f>V30</f>
        <v>92</v>
      </c>
      <c r="X37" s="40">
        <f>X30</f>
        <v>91</v>
      </c>
      <c r="Z37" s="40">
        <v>90</v>
      </c>
      <c r="AB37" s="40">
        <f>AB30</f>
        <v>92</v>
      </c>
      <c r="AC37" s="40"/>
      <c r="AD37" s="40">
        <v>92</v>
      </c>
      <c r="AF37" s="40">
        <v>91</v>
      </c>
      <c r="AH37" s="40">
        <v>90</v>
      </c>
      <c r="AJ37" s="40">
        <v>92</v>
      </c>
      <c r="AL37" s="40">
        <v>92</v>
      </c>
      <c r="AM37" s="28"/>
      <c r="AN37" s="44">
        <v>91</v>
      </c>
      <c r="AO37" s="28"/>
      <c r="AP37" s="44">
        <f>31+29+31</f>
        <v>91</v>
      </c>
      <c r="AQ37" s="28"/>
    </row>
    <row r="38" spans="1:43">
      <c r="A38" s="20" t="s">
        <v>95</v>
      </c>
      <c r="B38" s="40">
        <f>B37/(B34/((B35+D35)/2))</f>
        <v>112.01416539050535</v>
      </c>
      <c r="D38" s="40">
        <f>D37/(D34/((D35+F35)/2))</f>
        <v>116.24845888935107</v>
      </c>
      <c r="F38" s="40">
        <f>F37/(F34/((F35+H35)/2))</f>
        <v>125.5681025481089</v>
      </c>
      <c r="H38" s="40">
        <f>H37/(H34/((H35+J35)/2))</f>
        <v>125.7123666755849</v>
      </c>
      <c r="J38" s="40">
        <f>J37/(J34/((J35+L35)/2))</f>
        <v>90.92654588741766</v>
      </c>
      <c r="L38" s="40">
        <f>L37/(L34/((L35+N35)/2))</f>
        <v>72.595909677459289</v>
      </c>
      <c r="N38" s="40">
        <f>N37/(N34/((N35+P35)/2))</f>
        <v>95.208252546941381</v>
      </c>
      <c r="P38" s="40">
        <f>P37/(P34/((P35+R35)/2))</f>
        <v>141.59259576071784</v>
      </c>
      <c r="R38" s="40">
        <f>R37/(R34/((R35+T35)/2))</f>
        <v>106.34368692108887</v>
      </c>
      <c r="T38" s="40">
        <f>T37/(T34/((T35+V35)/2))</f>
        <v>85.802746286417602</v>
      </c>
      <c r="V38" s="40">
        <f>V37/(V34/((V35+X35)/2))</f>
        <v>74.916602560408137</v>
      </c>
      <c r="X38" s="40">
        <f>X37/(X34/((X35+Z35)/2))</f>
        <v>99.835332425464799</v>
      </c>
      <c r="Z38" s="40">
        <f>Z37/(Z34/((Z35+AB35)/2))</f>
        <v>80.767495205505199</v>
      </c>
      <c r="AB38" s="40">
        <f>AB37/(AB34/((AB35+AD35)/2))</f>
        <v>73.190839740401387</v>
      </c>
      <c r="AD38" s="40">
        <f>AD37/(AD34/((AD35+AF35)/2))</f>
        <v>92.722224920744409</v>
      </c>
      <c r="AF38" s="40">
        <f>AF37/(AF34/((AF35+AH35)/2))</f>
        <v>107.91950242872716</v>
      </c>
      <c r="AH38" s="40">
        <f>AH37/(AH34/((AH35+AJ35)/2))</f>
        <v>109.29755062264961</v>
      </c>
      <c r="AJ38" s="40">
        <f>AJ37/(AJ34/((AJ35+AL35)/2))</f>
        <v>68.717852676510248</v>
      </c>
      <c r="AL38" s="40">
        <f>AL37/(AL34/((AL35+AN35)/2))</f>
        <v>51.80943019477013</v>
      </c>
      <c r="AM38" s="28"/>
      <c r="AN38" s="44">
        <v>45.484175414189963</v>
      </c>
      <c r="AO38" s="28"/>
      <c r="AP38" s="44" t="e">
        <f>AP37/(AP34/((AP35+#REF!)/2))</f>
        <v>#REF!</v>
      </c>
      <c r="AQ38" s="28"/>
    </row>
    <row r="39" spans="1:43">
      <c r="A39" s="20" t="s">
        <v>96</v>
      </c>
      <c r="B39" s="40">
        <f>B37/(B34/AVERAGE(B36,D36))</f>
        <v>93.786179173047472</v>
      </c>
      <c r="D39" s="40">
        <f>D37/(D34/AVERAGE(D36,F36))</f>
        <v>99.078593832559505</v>
      </c>
      <c r="F39" s="40">
        <f>F37/(F34/AVERAGE(F36,H36))</f>
        <v>108.790634234156</v>
      </c>
      <c r="H39" s="40">
        <f>H37/(H34/AVERAGE(H36,J36))</f>
        <v>110.12059994489324</v>
      </c>
      <c r="J39" s="40">
        <f>J37/(J34/AVERAGE(J36,L36))</f>
        <v>78.5985715217533</v>
      </c>
      <c r="L39" s="40">
        <f>L37/(L34/AVERAGE(L36,N36))</f>
        <v>57.663450439884507</v>
      </c>
      <c r="N39" s="40">
        <f>N37/(N34/AVERAGE(N36,P36))</f>
        <v>72.475018502444158</v>
      </c>
      <c r="P39" s="40">
        <f>P37/(P34/AVERAGE(P36,R36))</f>
        <v>111.2589239889617</v>
      </c>
      <c r="R39" s="40">
        <f>R37/(R34/AVERAGE(R36,T36))</f>
        <v>84.733007602482587</v>
      </c>
      <c r="T39" s="40">
        <f>T37/(T34/AVERAGE(T36,V36))</f>
        <v>68.516941168921704</v>
      </c>
      <c r="V39" s="40">
        <f>V37/(V34/AVERAGE(V36,X36))</f>
        <v>61.672830055352733</v>
      </c>
      <c r="X39" s="40">
        <f>X37/(X34/AVERAGE(X36,Z36))</f>
        <v>83.084539576127355</v>
      </c>
      <c r="Z39" s="40">
        <f>Z37/(Z34/AVERAGE(Z36,AB36))</f>
        <v>65.805287105629304</v>
      </c>
      <c r="AB39" s="40">
        <f>AB37/(AB34/AVERAGE(AB36,AD36))</f>
        <v>58.255029273759092</v>
      </c>
      <c r="AC39" s="40"/>
      <c r="AD39" s="40">
        <f>AD37/(AD34/AVERAGE(AD36,AF36))</f>
        <v>75.171943356940005</v>
      </c>
      <c r="AE39" s="40"/>
      <c r="AF39" s="40">
        <f>AF37/(AF34/AVERAGE(AF36,AH36))</f>
        <v>91.654103797751162</v>
      </c>
      <c r="AG39" s="40"/>
      <c r="AH39" s="40">
        <f>AH37/(AH34/AVERAGE(AH36,AJ36))</f>
        <v>95.023961070395018</v>
      </c>
      <c r="AI39" s="40"/>
      <c r="AJ39" s="40">
        <f>AJ37/(AJ34/AVERAGE(AJ36,AL36))</f>
        <v>61.838155750361565</v>
      </c>
      <c r="AK39" s="40"/>
      <c r="AL39" s="40">
        <f>AL37/(AL34/AVERAGE(AL36,AN36))</f>
        <v>48.781311820457184</v>
      </c>
      <c r="AM39" s="40"/>
      <c r="AN39" s="40">
        <f>AN37/(AN34/AVERAGE(AN36,AP36))</f>
        <v>42.670755870325877</v>
      </c>
      <c r="AO39" s="28"/>
      <c r="AP39" s="44"/>
      <c r="AQ39" s="28"/>
    </row>
    <row r="40" spans="1:43">
      <c r="B40" s="40"/>
      <c r="D40" s="40"/>
      <c r="F40" s="40"/>
      <c r="H40" s="40"/>
      <c r="J40" s="40"/>
      <c r="L40" s="40"/>
      <c r="N40" s="40"/>
      <c r="P40" s="40"/>
      <c r="R40" s="40"/>
      <c r="T40" s="40"/>
      <c r="V40" s="40"/>
      <c r="X40" s="40"/>
      <c r="Z40" s="40"/>
      <c r="AB40" s="40"/>
      <c r="AD40" s="40"/>
      <c r="AF40" s="40"/>
      <c r="AH40" s="40"/>
      <c r="AJ40" s="40"/>
      <c r="AL40" s="44"/>
      <c r="AM40" s="28"/>
      <c r="AN40" s="44"/>
      <c r="AO40" s="28"/>
      <c r="AP40" s="44"/>
      <c r="AQ40" s="28"/>
    </row>
    <row r="41" spans="1:43">
      <c r="A41" s="20" t="s">
        <v>6</v>
      </c>
      <c r="B41" s="41">
        <f>B8/(B15+B16)</f>
        <v>5.9179285795382448</v>
      </c>
      <c r="D41" s="41">
        <f>D8/(D15+D16)</f>
        <v>5.3934665246696722</v>
      </c>
      <c r="F41" s="41">
        <f>F8/(F15+F16)</f>
        <v>5.781797358363729</v>
      </c>
      <c r="H41" s="41">
        <f>H8/(H15+H16)</f>
        <v>6.734457391457962</v>
      </c>
      <c r="J41" s="41">
        <f>J8/(J15+J16)</f>
        <v>6.0001194032730973</v>
      </c>
      <c r="L41" s="41">
        <f>L8/(L15+L16)</f>
        <v>5.0016682865971305</v>
      </c>
      <c r="N41" s="41">
        <f>N8/(N15+N16)</f>
        <v>6.4443557494386852</v>
      </c>
      <c r="P41" s="41">
        <f>P8/(P15+P16)</f>
        <v>5.3506981728437824</v>
      </c>
      <c r="R41" s="41">
        <f>R8/(R15+R16)</f>
        <v>5.8826868082935411</v>
      </c>
      <c r="T41" s="41">
        <f>T8/(T15+T16)</f>
        <v>5.2142611779153762</v>
      </c>
      <c r="V41" s="41">
        <f>V8/(V15+V16)</f>
        <v>5.0691410311495018</v>
      </c>
      <c r="X41" s="41">
        <f>X8/(X15+X16)</f>
        <v>3.544053088496641</v>
      </c>
      <c r="Z41" s="41">
        <f>Z8/(Z15+Z16)</f>
        <v>5.3427667988471148</v>
      </c>
      <c r="AB41" s="41">
        <f>AB8/(AB15+AB16)</f>
        <v>5.1804729240202292</v>
      </c>
      <c r="AD41" s="41">
        <f>5447274/895552</f>
        <v>6.0825881690845423</v>
      </c>
      <c r="AF41" s="41">
        <v>3.754608308186647</v>
      </c>
      <c r="AH41" s="41">
        <v>4.5951395448690429</v>
      </c>
      <c r="AJ41" s="41">
        <f>AJ8/(AJ15+AJ16)</f>
        <v>3.6539661405728237</v>
      </c>
      <c r="AL41" s="45">
        <f>5054077/1251636</f>
        <v>4.0379766961001442</v>
      </c>
      <c r="AM41" s="29"/>
      <c r="AN41" s="45">
        <v>3.0304275952100919</v>
      </c>
      <c r="AO41" s="29"/>
      <c r="AP41" s="45">
        <f>AP8/(AP15+AP16)</f>
        <v>3.583401413868303</v>
      </c>
      <c r="AQ41" s="29"/>
    </row>
    <row r="43" spans="1:43">
      <c r="B43" s="40"/>
      <c r="D43" s="40"/>
      <c r="F43" s="40"/>
      <c r="H43" s="40"/>
      <c r="J43" s="40"/>
      <c r="L43" s="40"/>
      <c r="N43" s="40"/>
      <c r="P43" s="40"/>
      <c r="R43" s="40"/>
      <c r="T43" s="40"/>
      <c r="V43" s="40"/>
      <c r="X43" s="40"/>
      <c r="Z43" s="40"/>
      <c r="AB43" s="40"/>
      <c r="AD43" s="40"/>
      <c r="AF43" s="40"/>
      <c r="AH43" s="40"/>
      <c r="AJ43" s="40"/>
      <c r="AL43" s="44"/>
      <c r="AM43" s="28"/>
      <c r="AN43" s="44"/>
      <c r="AO43" s="28"/>
      <c r="AP43" s="44"/>
      <c r="AQ43" s="28"/>
    </row>
    <row r="44" spans="1:43">
      <c r="A44" s="20" t="s">
        <v>0</v>
      </c>
      <c r="B44" s="40">
        <f>B34</f>
        <v>548520</v>
      </c>
      <c r="D44" s="40">
        <f>D34</f>
        <v>533706</v>
      </c>
      <c r="F44" s="40">
        <f>F34</f>
        <v>506611</v>
      </c>
      <c r="H44" s="40">
        <f>H34</f>
        <v>500846</v>
      </c>
      <c r="J44" s="40">
        <f>J34</f>
        <v>613240</v>
      </c>
      <c r="L44" s="40">
        <f>L34</f>
        <v>646306</v>
      </c>
      <c r="N44" s="40">
        <f>N34</f>
        <v>547225</v>
      </c>
      <c r="P44" s="40">
        <f>P34</f>
        <v>403323</v>
      </c>
      <c r="R44" s="40">
        <f>R34</f>
        <v>530090</v>
      </c>
      <c r="T44" s="40">
        <f>T34</f>
        <v>685726</v>
      </c>
      <c r="V44" s="40">
        <f>V34</f>
        <v>798154</v>
      </c>
      <c r="X44" s="40">
        <f>X34</f>
        <v>542663</v>
      </c>
      <c r="Z44" s="40">
        <v>558453</v>
      </c>
      <c r="AB44" s="40">
        <f>AB34</f>
        <v>667492</v>
      </c>
      <c r="AD44" s="40">
        <v>617622</v>
      </c>
      <c r="AF44" s="40">
        <v>519202</v>
      </c>
      <c r="AH44" s="40">
        <v>473059</v>
      </c>
      <c r="AJ44" s="40">
        <v>654098</v>
      </c>
      <c r="AL44" s="44">
        <v>648046</v>
      </c>
      <c r="AM44" s="28"/>
      <c r="AN44" s="44">
        <v>664188</v>
      </c>
      <c r="AO44" s="28"/>
      <c r="AP44" s="44">
        <f>AP34</f>
        <v>733231</v>
      </c>
      <c r="AQ44" s="28"/>
    </row>
    <row r="45" spans="1:43">
      <c r="A45" s="21" t="s">
        <v>3</v>
      </c>
      <c r="B45" s="40">
        <f>B15</f>
        <v>474493</v>
      </c>
      <c r="D45" s="40">
        <f>D15</f>
        <v>448124</v>
      </c>
      <c r="F45" s="40">
        <f>F15</f>
        <v>410313</v>
      </c>
      <c r="H45" s="40">
        <f>H15</f>
        <v>388943</v>
      </c>
      <c r="J45" s="40">
        <f>J15</f>
        <v>525708</v>
      </c>
      <c r="L45" s="40">
        <f>L15</f>
        <v>633629</v>
      </c>
      <c r="N45" s="40">
        <f>N15</f>
        <v>345868</v>
      </c>
      <c r="P45" s="40">
        <f>P15</f>
        <v>324307</v>
      </c>
      <c r="R45" s="40">
        <f>R15</f>
        <v>451214</v>
      </c>
      <c r="T45" s="40">
        <f>T15</f>
        <v>511217</v>
      </c>
      <c r="V45" s="40">
        <f>V15</f>
        <v>604935</v>
      </c>
      <c r="X45" s="40">
        <f>X15</f>
        <v>484040</v>
      </c>
      <c r="Z45" s="40">
        <v>554009</v>
      </c>
      <c r="AB45" s="40">
        <f>AB15</f>
        <v>492527</v>
      </c>
      <c r="AD45" s="40">
        <v>456522</v>
      </c>
      <c r="AF45" s="40">
        <v>574761</v>
      </c>
      <c r="AH45" s="40">
        <v>491152</v>
      </c>
      <c r="AJ45" s="40">
        <v>643566</v>
      </c>
      <c r="AL45" s="44">
        <v>641041</v>
      </c>
      <c r="AM45" s="28"/>
      <c r="AN45" s="44">
        <v>667224</v>
      </c>
      <c r="AO45" s="28"/>
      <c r="AP45" s="44">
        <f>AP15</f>
        <v>862357</v>
      </c>
      <c r="AQ45" s="28"/>
    </row>
    <row r="46" spans="1:43">
      <c r="A46" s="20" t="s">
        <v>5</v>
      </c>
      <c r="B46" s="40">
        <f>B30</f>
        <v>90</v>
      </c>
      <c r="D46" s="40">
        <f>D30</f>
        <v>92</v>
      </c>
      <c r="F46" s="40">
        <f>F30</f>
        <v>92</v>
      </c>
      <c r="H46" s="40">
        <f>H30</f>
        <v>91</v>
      </c>
      <c r="J46" s="40">
        <f>J30</f>
        <v>91</v>
      </c>
      <c r="L46" s="40">
        <f>L30</f>
        <v>92</v>
      </c>
      <c r="N46" s="40">
        <f>N30</f>
        <v>92</v>
      </c>
      <c r="P46" s="40">
        <f>P30</f>
        <v>91</v>
      </c>
      <c r="R46" s="40">
        <f>R30</f>
        <v>90</v>
      </c>
      <c r="T46" s="40">
        <f>T30</f>
        <v>92</v>
      </c>
      <c r="V46" s="40">
        <f>V30</f>
        <v>92</v>
      </c>
      <c r="X46" s="40">
        <f>X30</f>
        <v>91</v>
      </c>
      <c r="Z46" s="40">
        <v>90</v>
      </c>
      <c r="AB46" s="40">
        <f>AB30</f>
        <v>92</v>
      </c>
      <c r="AD46" s="40">
        <v>92</v>
      </c>
      <c r="AF46" s="40">
        <v>91</v>
      </c>
      <c r="AH46" s="40">
        <v>90</v>
      </c>
      <c r="AJ46" s="40">
        <v>92</v>
      </c>
      <c r="AL46" s="44">
        <v>92</v>
      </c>
      <c r="AM46" s="28"/>
      <c r="AN46" s="44">
        <v>91</v>
      </c>
      <c r="AO46" s="28"/>
      <c r="AP46" s="44">
        <f>31+29+31</f>
        <v>91</v>
      </c>
      <c r="AQ46" s="28"/>
    </row>
    <row r="47" spans="1:43">
      <c r="A47" s="20" t="s">
        <v>7</v>
      </c>
      <c r="B47" s="40">
        <f>B46/(B44/((B45+D45)/2))</f>
        <v>75.690521767665714</v>
      </c>
      <c r="D47" s="40">
        <f>D46/(D44/((D45+F45)/2))</f>
        <v>73.988491791360786</v>
      </c>
      <c r="F47" s="40">
        <f>F46/(F44/((F45+H45)/2))</f>
        <v>72.572004950543914</v>
      </c>
      <c r="H47" s="40">
        <f>H46/(H44/((H45+J45)/2))</f>
        <v>83.092648239179312</v>
      </c>
      <c r="J47" s="40">
        <f>J46/(J44/((J45+L45)/2))</f>
        <v>86.01825304937708</v>
      </c>
      <c r="L47" s="40">
        <f>L46/(L44/((L45+N45)/2))</f>
        <v>69.714441765974627</v>
      </c>
      <c r="N47" s="40">
        <f>N46/(N44/((N45+P45)/2))</f>
        <v>56.335236876970164</v>
      </c>
      <c r="P47" s="40">
        <f>P46/(P44/((P45+R45)/2))</f>
        <v>87.48870136342336</v>
      </c>
      <c r="R47" s="40">
        <f>R46/(R44/((R45+T45)/2))</f>
        <v>81.701965703937063</v>
      </c>
      <c r="T47" s="40">
        <f>T46/(T44/((T45+V45)/2))</f>
        <v>74.873917570574832</v>
      </c>
      <c r="V47" s="40">
        <f>V46/(V44/((V45+X45)/2))</f>
        <v>62.760883238071848</v>
      </c>
      <c r="X47" s="40">
        <f>X46/(X44/((X45+Z45)/2))</f>
        <v>87.036023277798563</v>
      </c>
      <c r="Z47" s="40">
        <f>Z46/(Z44/((Z45+AB45)/2))</f>
        <v>84.32960338649805</v>
      </c>
      <c r="AB47" s="40">
        <f>AB46/(AB44/((AB45+AD45)/2))</f>
        <v>65.403411576468329</v>
      </c>
      <c r="AD47" s="40">
        <f>AD46/(AD44/((AD45+AF45)/2))</f>
        <v>76.809145399613357</v>
      </c>
      <c r="AF47" s="40">
        <v>93.410737054171591</v>
      </c>
      <c r="AH47" s="40">
        <v>107.94067970380016</v>
      </c>
      <c r="AJ47" s="40">
        <v>90.341083446211428</v>
      </c>
      <c r="AL47" s="44">
        <f>AL46/(AL44/((AL45+AN45)/2))</f>
        <v>92.864071377649111</v>
      </c>
      <c r="AM47" s="28"/>
      <c r="AN47" s="44">
        <v>104.78348825934826</v>
      </c>
      <c r="AO47" s="28"/>
      <c r="AP47" s="44" t="e">
        <f>AP46/(AP44/((AP45+#REF!)/2))</f>
        <v>#REF!</v>
      </c>
      <c r="AQ47" s="28"/>
    </row>
    <row r="48" spans="1:43">
      <c r="B48" s="40"/>
      <c r="D48" s="40"/>
      <c r="F48" s="40"/>
      <c r="H48" s="40"/>
      <c r="J48" s="40"/>
      <c r="L48" s="40"/>
      <c r="N48" s="40"/>
      <c r="P48" s="40"/>
      <c r="R48" s="40"/>
      <c r="T48" s="40"/>
      <c r="V48" s="40"/>
      <c r="X48" s="40"/>
      <c r="Z48" s="40"/>
      <c r="AB48" s="40"/>
      <c r="AD48" s="40"/>
      <c r="AF48" s="40"/>
      <c r="AH48" s="40"/>
      <c r="AJ48" s="40"/>
    </row>
  </sheetData>
  <sheetProtection sheet="1" objects="1" scenarios="1"/>
  <customSheetViews>
    <customSheetView guid="{6CC4FA47-4F74-48A0-8033-8683B05A3BC4}">
      <selection activeCell="E13" sqref="E13"/>
      <pageMargins left="0.7" right="0.7" top="0.75" bottom="0.75" header="0.3" footer="0.3"/>
      <pageSetup paperSize="9" orientation="portrait" r:id="rId1"/>
    </customSheetView>
    <customSheetView guid="{293A8923-ED08-4701-85A2-A97D5F3D44EF}" fitToPage="1" printArea="1" hiddenRows="1" hiddenColumns="1" topLeftCell="A8">
      <selection activeCell="AR22" sqref="AR22"/>
      <pageMargins left="0.7" right="0.7" top="0.75" bottom="0.75" header="0.3" footer="0.3"/>
      <pageSetup paperSize="9" scale="89" orientation="portrait" r:id="rId2"/>
    </customSheetView>
  </customSheetViews>
  <phoneticPr fontId="1" type="noConversion"/>
  <pageMargins left="0.7" right="0.7" top="0.75" bottom="0.75" header="0.3" footer="0.3"/>
  <pageSetup paperSize="9" scale="89" orientation="portrait" r:id="rId3"/>
  <ignoredErrors>
    <ignoredError sqref="AH13 AJ13 AP13" formulaRange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workbookViewId="0">
      <selection activeCell="AG30" sqref="AG30"/>
    </sheetView>
  </sheetViews>
  <sheetFormatPr defaultColWidth="9" defaultRowHeight="15.75"/>
  <cols>
    <col min="1" max="1" width="66.25" style="12" customWidth="1"/>
    <col min="2" max="2" width="3.25" style="15" customWidth="1"/>
    <col min="3" max="4" width="16.75" style="20" customWidth="1"/>
    <col min="5" max="5" width="15.75" style="20" bestFit="1" customWidth="1"/>
    <col min="6" max="7" width="15.75" style="20" hidden="1" customWidth="1"/>
    <col min="8" max="8" width="15.75" style="20" bestFit="1" customWidth="1"/>
    <col min="9" max="9" width="13.375" style="20" hidden="1" customWidth="1"/>
    <col min="10" max="13" width="15.75" style="20" hidden="1" customWidth="1"/>
    <col min="14" max="14" width="13.375" style="20" hidden="1" customWidth="1"/>
    <col min="15" max="18" width="15.75" style="20" hidden="1" customWidth="1"/>
    <col min="19" max="19" width="13.375" style="20" hidden="1" customWidth="1"/>
    <col min="20" max="25" width="15.75" style="20" hidden="1" customWidth="1"/>
    <col min="26" max="28" width="15.75" style="12" hidden="1" customWidth="1"/>
    <col min="29" max="31" width="0" style="12" hidden="1" customWidth="1"/>
    <col min="32" max="16384" width="9" style="12"/>
  </cols>
  <sheetData>
    <row r="1" spans="1:28" ht="75.75" customHeight="1"/>
    <row r="2" spans="1:28" ht="17.25" thickBot="1">
      <c r="A2" s="56" t="s">
        <v>63</v>
      </c>
      <c r="B2" s="16"/>
      <c r="C2" s="72" t="s">
        <v>161</v>
      </c>
      <c r="D2" s="72" t="s">
        <v>148</v>
      </c>
      <c r="E2" s="72" t="s">
        <v>147</v>
      </c>
      <c r="F2" s="72" t="s">
        <v>144</v>
      </c>
      <c r="G2" s="72" t="s">
        <v>141</v>
      </c>
      <c r="H2" s="72" t="s">
        <v>139</v>
      </c>
      <c r="I2" s="72" t="s">
        <v>126</v>
      </c>
      <c r="J2" s="72" t="s">
        <v>125</v>
      </c>
      <c r="K2" s="72" t="s">
        <v>123</v>
      </c>
      <c r="L2" s="72" t="s">
        <v>117</v>
      </c>
      <c r="M2" s="72" t="s">
        <v>138</v>
      </c>
      <c r="N2" s="72" t="s">
        <v>109</v>
      </c>
      <c r="O2" s="72" t="s">
        <v>110</v>
      </c>
      <c r="P2" s="72" t="s">
        <v>106</v>
      </c>
      <c r="Q2" s="72" t="s">
        <v>103</v>
      </c>
      <c r="R2" s="72" t="s">
        <v>100</v>
      </c>
      <c r="S2" s="72" t="s">
        <v>85</v>
      </c>
      <c r="T2" s="72" t="s">
        <v>84</v>
      </c>
      <c r="U2" s="72" t="s">
        <v>78</v>
      </c>
      <c r="V2" s="72" t="s">
        <v>69</v>
      </c>
      <c r="W2" s="72" t="s">
        <v>17</v>
      </c>
      <c r="X2" s="72" t="s">
        <v>83</v>
      </c>
      <c r="Y2" s="74" t="s">
        <v>89</v>
      </c>
      <c r="Z2" s="74" t="s">
        <v>79</v>
      </c>
      <c r="AA2" s="71" t="s">
        <v>74</v>
      </c>
      <c r="AB2" s="71" t="s">
        <v>18</v>
      </c>
    </row>
    <row r="3" spans="1:28" ht="16.5">
      <c r="A3" s="59" t="s">
        <v>65</v>
      </c>
      <c r="B3" s="1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8">
      <c r="A4" s="58" t="s">
        <v>37</v>
      </c>
      <c r="B4" s="16"/>
      <c r="C4" s="3">
        <v>-137671</v>
      </c>
      <c r="D4" s="3">
        <f>E4+F4+G4+H4</f>
        <v>-626565</v>
      </c>
      <c r="E4" s="3">
        <f>-626565-F4-G4-H4</f>
        <v>-383712</v>
      </c>
      <c r="F4" s="3">
        <f>-242853+108947+30404</f>
        <v>-103502</v>
      </c>
      <c r="G4" s="3">
        <f>-139351+30404</f>
        <v>-108947</v>
      </c>
      <c r="H4" s="3">
        <f>-30404</f>
        <v>-30404</v>
      </c>
      <c r="I4" s="3">
        <f>J4+K4+L4+M4</f>
        <v>-90344</v>
      </c>
      <c r="J4" s="3">
        <f>-90344-K4-L4-M4</f>
        <v>26331</v>
      </c>
      <c r="K4" s="3">
        <v>34369</v>
      </c>
      <c r="L4" s="3">
        <f>-151044-5560</f>
        <v>-156604</v>
      </c>
      <c r="M4" s="3">
        <v>5560</v>
      </c>
      <c r="N4" s="3">
        <v>312656</v>
      </c>
      <c r="O4" s="3">
        <f>312656-275721</f>
        <v>36935</v>
      </c>
      <c r="P4" s="3">
        <f>275721-141581</f>
        <v>134140</v>
      </c>
      <c r="Q4" s="3">
        <f>141581-92991</f>
        <v>48590</v>
      </c>
      <c r="R4" s="3">
        <v>92991</v>
      </c>
      <c r="S4" s="3">
        <f>1003654</f>
        <v>1003654</v>
      </c>
      <c r="T4" s="3">
        <f>S4-SUM(U4:W4)</f>
        <v>95701</v>
      </c>
      <c r="U4" s="3">
        <v>-4382</v>
      </c>
      <c r="V4" s="3">
        <v>952900</v>
      </c>
      <c r="W4" s="3">
        <v>-40565</v>
      </c>
      <c r="X4" s="3">
        <v>977057</v>
      </c>
      <c r="Y4" s="3">
        <f>X4-SUM(Z4:AB4)</f>
        <v>146416</v>
      </c>
      <c r="Z4" s="3">
        <v>236725</v>
      </c>
      <c r="AA4" s="3">
        <v>265691</v>
      </c>
      <c r="AB4" s="3">
        <v>328225</v>
      </c>
    </row>
    <row r="5" spans="1:28">
      <c r="A5" s="58" t="s">
        <v>68</v>
      </c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0</v>
      </c>
      <c r="W5" s="3"/>
      <c r="X5" s="3"/>
      <c r="Y5" s="3"/>
      <c r="Z5" s="3"/>
      <c r="AA5" s="3"/>
      <c r="AB5" s="3"/>
    </row>
    <row r="6" spans="1:28">
      <c r="A6" s="58" t="s">
        <v>38</v>
      </c>
      <c r="B6" s="16"/>
      <c r="C6" s="3">
        <v>11331</v>
      </c>
      <c r="D6" s="3">
        <f>E6+F6+G6+H6</f>
        <v>50504</v>
      </c>
      <c r="E6" s="3">
        <f>50504-F6-G6-H6</f>
        <v>11850</v>
      </c>
      <c r="F6" s="3">
        <f>38654-13022-13317</f>
        <v>12315</v>
      </c>
      <c r="G6" s="3">
        <f>26336-13314</f>
        <v>13022</v>
      </c>
      <c r="H6" s="3">
        <v>13317</v>
      </c>
      <c r="I6" s="3">
        <f>J6+K6+L6+M6</f>
        <v>50300</v>
      </c>
      <c r="J6" s="3">
        <f>50300-K6-L6-M6</f>
        <v>13178</v>
      </c>
      <c r="K6" s="3">
        <f>37122-12240-11787</f>
        <v>13095</v>
      </c>
      <c r="L6" s="3">
        <f>24027-11787</f>
        <v>12240</v>
      </c>
      <c r="M6" s="3">
        <v>11787</v>
      </c>
      <c r="N6" s="3">
        <v>45369</v>
      </c>
      <c r="O6" s="3">
        <f>45369-34009</f>
        <v>11360</v>
      </c>
      <c r="P6" s="3">
        <f>34009-22834</f>
        <v>11175</v>
      </c>
      <c r="Q6" s="3">
        <f>22834-11611</f>
        <v>11223</v>
      </c>
      <c r="R6" s="3">
        <v>11611</v>
      </c>
      <c r="S6" s="3">
        <v>46665</v>
      </c>
      <c r="T6" s="3">
        <f t="shared" ref="T6:T56" si="0">S6-SUM(U6:W6)</f>
        <v>9741</v>
      </c>
      <c r="U6" s="3">
        <v>11850</v>
      </c>
      <c r="V6" s="3">
        <v>12496</v>
      </c>
      <c r="W6" s="3">
        <v>12578</v>
      </c>
      <c r="X6" s="3">
        <v>30882</v>
      </c>
      <c r="Y6" s="3">
        <f t="shared" ref="Y6:Y27" si="1">X6-SUM(Z6:AB6)</f>
        <v>-14262</v>
      </c>
      <c r="Z6" s="3">
        <v>14416</v>
      </c>
      <c r="AA6" s="3">
        <v>15575</v>
      </c>
      <c r="AB6" s="3">
        <v>15153</v>
      </c>
    </row>
    <row r="7" spans="1:28">
      <c r="A7" s="58" t="s">
        <v>39</v>
      </c>
      <c r="B7" s="16"/>
      <c r="C7" s="3">
        <v>30243</v>
      </c>
      <c r="D7" s="3">
        <f t="shared" ref="C7:D27" si="2">E7+F7+G7+H7</f>
        <v>128129</v>
      </c>
      <c r="E7" s="3">
        <f>128129-F7-G7-H7</f>
        <v>29754</v>
      </c>
      <c r="F7" s="3">
        <f>98375-31360-36283</f>
        <v>30732</v>
      </c>
      <c r="G7" s="3">
        <f>67643-36283</f>
        <v>31360</v>
      </c>
      <c r="H7" s="3">
        <v>36283</v>
      </c>
      <c r="I7" s="3">
        <f t="shared" ref="I7:I27" si="3">J7+K7+L7+M7</f>
        <v>129556</v>
      </c>
      <c r="J7" s="3">
        <f>129556-K7-L7-M7</f>
        <v>31463</v>
      </c>
      <c r="K7" s="3">
        <f>98093-31940-33378</f>
        <v>32775</v>
      </c>
      <c r="L7" s="3">
        <f>65318-33378</f>
        <v>31940</v>
      </c>
      <c r="M7" s="3">
        <v>33378</v>
      </c>
      <c r="N7" s="3">
        <v>118657</v>
      </c>
      <c r="O7" s="3">
        <f>118657-87079</f>
        <v>31578</v>
      </c>
      <c r="P7" s="3">
        <f>87079-60130</f>
        <v>26949</v>
      </c>
      <c r="Q7" s="3">
        <f>60130-31676</f>
        <v>28454</v>
      </c>
      <c r="R7" s="3">
        <v>31676</v>
      </c>
      <c r="S7" s="3">
        <v>120290</v>
      </c>
      <c r="T7" s="3">
        <f t="shared" si="0"/>
        <v>31950</v>
      </c>
      <c r="U7" s="3">
        <v>28456</v>
      </c>
      <c r="V7" s="3">
        <v>30338</v>
      </c>
      <c r="W7" s="3">
        <v>29546</v>
      </c>
      <c r="X7" s="3">
        <v>94235</v>
      </c>
      <c r="Y7" s="3">
        <f t="shared" si="1"/>
        <v>35491</v>
      </c>
      <c r="Z7" s="3">
        <v>20359</v>
      </c>
      <c r="AA7" s="3">
        <v>18913</v>
      </c>
      <c r="AB7" s="3">
        <v>19472</v>
      </c>
    </row>
    <row r="8" spans="1:28">
      <c r="A8" s="58" t="s">
        <v>101</v>
      </c>
      <c r="B8" s="16"/>
      <c r="C8" s="3">
        <v>430</v>
      </c>
      <c r="D8" s="3">
        <f t="shared" si="2"/>
        <v>0</v>
      </c>
      <c r="E8" s="3">
        <v>-11196</v>
      </c>
      <c r="F8" s="3">
        <f>11196-11203</f>
        <v>-7</v>
      </c>
      <c r="G8" s="3">
        <f>11203</f>
        <v>11203</v>
      </c>
      <c r="H8" s="3">
        <v>0</v>
      </c>
      <c r="I8" s="3">
        <f t="shared" si="3"/>
        <v>0</v>
      </c>
      <c r="J8" s="3">
        <v>0</v>
      </c>
      <c r="K8" s="3">
        <v>0</v>
      </c>
      <c r="L8" s="3">
        <v>0</v>
      </c>
      <c r="M8" s="3">
        <v>0</v>
      </c>
      <c r="N8" s="3">
        <v>97</v>
      </c>
      <c r="O8" s="3">
        <f>97-521</f>
        <v>-424</v>
      </c>
      <c r="P8" s="3">
        <f>521-643</f>
        <v>-122</v>
      </c>
      <c r="Q8" s="3">
        <f>643-645</f>
        <v>-2</v>
      </c>
      <c r="R8" s="3">
        <v>645</v>
      </c>
      <c r="S8" s="3"/>
      <c r="T8" s="3"/>
      <c r="U8" s="3"/>
      <c r="V8" s="3">
        <v>0</v>
      </c>
      <c r="W8" s="3"/>
      <c r="X8" s="3"/>
      <c r="Y8" s="3"/>
      <c r="Z8" s="3"/>
      <c r="AA8" s="3"/>
      <c r="AB8" s="3"/>
    </row>
    <row r="9" spans="1:28">
      <c r="A9" s="58" t="s">
        <v>64</v>
      </c>
      <c r="B9" s="16"/>
      <c r="C9" s="3">
        <v>-818</v>
      </c>
      <c r="D9" s="3">
        <f t="shared" si="2"/>
        <v>-620</v>
      </c>
      <c r="E9" s="3">
        <f>-620-F9-G9-H9</f>
        <v>268</v>
      </c>
      <c r="F9" s="3">
        <f>-888-(-1113)-1107</f>
        <v>-882</v>
      </c>
      <c r="G9" s="3">
        <f>-6-1107</f>
        <v>-1113</v>
      </c>
      <c r="H9" s="3">
        <v>1107</v>
      </c>
      <c r="I9" s="3">
        <f t="shared" si="3"/>
        <v>690</v>
      </c>
      <c r="J9" s="3">
        <f>690-K9-L9-M9</f>
        <v>42166</v>
      </c>
      <c r="K9" s="3">
        <f>-3451-38025+53378-(134+54043)</f>
        <v>-42275</v>
      </c>
      <c r="L9" s="3">
        <f>799-(134+54043)</f>
        <v>-53378</v>
      </c>
      <c r="M9" s="3">
        <f>134+54043</f>
        <v>54177</v>
      </c>
      <c r="N9" s="3">
        <v>-2515</v>
      </c>
      <c r="O9" s="3">
        <f>-2515+2179</f>
        <v>-336</v>
      </c>
      <c r="P9" s="3">
        <f>(-2179)-(-2647)</f>
        <v>468</v>
      </c>
      <c r="Q9" s="3">
        <f>(-2647)-(-6272+4010)</f>
        <v>-385</v>
      </c>
      <c r="R9" s="3">
        <f>-6272+4010</f>
        <v>-2262</v>
      </c>
      <c r="S9" s="3">
        <v>6465</v>
      </c>
      <c r="T9" s="3">
        <f t="shared" si="0"/>
        <v>7527</v>
      </c>
      <c r="U9" s="3">
        <v>-1182</v>
      </c>
      <c r="V9" s="3">
        <v>14</v>
      </c>
      <c r="W9" s="3">
        <v>106</v>
      </c>
      <c r="X9" s="3">
        <v>5592</v>
      </c>
      <c r="Y9" s="3">
        <f t="shared" si="1"/>
        <v>9208</v>
      </c>
      <c r="Z9" s="3">
        <v>-3477</v>
      </c>
      <c r="AA9" s="3">
        <v>19</v>
      </c>
      <c r="AB9" s="3">
        <v>-158</v>
      </c>
    </row>
    <row r="10" spans="1:28">
      <c r="A10" s="58" t="s">
        <v>40</v>
      </c>
      <c r="B10" s="16"/>
      <c r="C10" s="3">
        <v>3</v>
      </c>
      <c r="D10" s="3">
        <f t="shared" si="2"/>
        <v>12</v>
      </c>
      <c r="E10" s="3">
        <f>12-F10-G10-H10</f>
        <v>2</v>
      </c>
      <c r="F10" s="3">
        <f>10-4-3</f>
        <v>3</v>
      </c>
      <c r="G10" s="3">
        <f>7-3</f>
        <v>4</v>
      </c>
      <c r="H10" s="3">
        <v>3</v>
      </c>
      <c r="I10" s="3">
        <f t="shared" si="3"/>
        <v>95</v>
      </c>
      <c r="J10" s="3">
        <f>95-K10-L10-M10</f>
        <v>4</v>
      </c>
      <c r="K10" s="3">
        <f>91-66-21</f>
        <v>4</v>
      </c>
      <c r="L10" s="3">
        <f>87-21</f>
        <v>66</v>
      </c>
      <c r="M10" s="3">
        <v>21</v>
      </c>
      <c r="N10" s="3">
        <v>42</v>
      </c>
      <c r="O10" s="3">
        <f>42-26</f>
        <v>16</v>
      </c>
      <c r="P10" s="3">
        <f>26-24</f>
        <v>2</v>
      </c>
      <c r="Q10" s="3">
        <f>24-16</f>
        <v>8</v>
      </c>
      <c r="R10" s="3">
        <v>16</v>
      </c>
      <c r="S10" s="3">
        <v>80</v>
      </c>
      <c r="T10" s="3">
        <f t="shared" si="0"/>
        <v>16</v>
      </c>
      <c r="U10" s="3">
        <v>16</v>
      </c>
      <c r="V10" s="3">
        <v>16</v>
      </c>
      <c r="W10" s="3">
        <v>32</v>
      </c>
      <c r="X10" s="3">
        <v>244</v>
      </c>
      <c r="Y10" s="3">
        <f t="shared" si="1"/>
        <v>29</v>
      </c>
      <c r="Z10" s="3">
        <v>35</v>
      </c>
      <c r="AA10" s="3">
        <v>118</v>
      </c>
      <c r="AB10" s="3">
        <v>62</v>
      </c>
    </row>
    <row r="11" spans="1:28">
      <c r="A11" s="58" t="s">
        <v>41</v>
      </c>
      <c r="B11" s="16"/>
      <c r="C11" s="3">
        <v>-8718</v>
      </c>
      <c r="D11" s="3">
        <f t="shared" si="2"/>
        <v>-42938</v>
      </c>
      <c r="E11" s="3">
        <f>-42938-F11-G11-H11</f>
        <v>-8388</v>
      </c>
      <c r="F11" s="3">
        <f>-34550-(-11102)-(-12154)</f>
        <v>-11294</v>
      </c>
      <c r="G11" s="3">
        <f>-23256+12154</f>
        <v>-11102</v>
      </c>
      <c r="H11" s="3">
        <v>-12154</v>
      </c>
      <c r="I11" s="3">
        <f t="shared" si="3"/>
        <v>-53959</v>
      </c>
      <c r="J11" s="3">
        <f>-53959-K11-L11-M11</f>
        <v>-11866</v>
      </c>
      <c r="K11" s="3">
        <f>-42093+14430-(-15196)</f>
        <v>-12467</v>
      </c>
      <c r="L11" s="3">
        <f>-29626-(-15196)</f>
        <v>-14430</v>
      </c>
      <c r="M11" s="3">
        <v>-15196</v>
      </c>
      <c r="N11" s="3">
        <v>-61703</v>
      </c>
      <c r="O11" s="3">
        <f>-61703+46579</f>
        <v>-15124</v>
      </c>
      <c r="P11" s="3">
        <f>(-46579)-(-32056)</f>
        <v>-14523</v>
      </c>
      <c r="Q11" s="3">
        <f>-32056-(-15385)</f>
        <v>-16671</v>
      </c>
      <c r="R11" s="3">
        <v>-15385</v>
      </c>
      <c r="S11" s="3">
        <v>-54189</v>
      </c>
      <c r="T11" s="3">
        <f t="shared" si="0"/>
        <v>-17490</v>
      </c>
      <c r="U11" s="3">
        <v>-13187</v>
      </c>
      <c r="V11" s="3">
        <v>-13636</v>
      </c>
      <c r="W11" s="3">
        <v>-9876</v>
      </c>
      <c r="X11" s="3">
        <v>-43521</v>
      </c>
      <c r="Y11" s="3">
        <f t="shared" si="1"/>
        <v>-10885</v>
      </c>
      <c r="Z11" s="3">
        <v>-11030</v>
      </c>
      <c r="AA11" s="3">
        <v>-11195</v>
      </c>
      <c r="AB11" s="3">
        <v>-10411</v>
      </c>
    </row>
    <row r="12" spans="1:28">
      <c r="A12" s="58" t="s">
        <v>86</v>
      </c>
      <c r="B12" s="16"/>
      <c r="C12" s="3">
        <v>-150</v>
      </c>
      <c r="D12" s="3">
        <f t="shared" si="2"/>
        <v>-25</v>
      </c>
      <c r="E12" s="3">
        <v>0</v>
      </c>
      <c r="F12" s="3">
        <v>-25</v>
      </c>
      <c r="G12" s="3">
        <v>0</v>
      </c>
      <c r="H12" s="3">
        <v>0</v>
      </c>
      <c r="I12" s="3">
        <f t="shared" si="3"/>
        <v>-42</v>
      </c>
      <c r="J12" s="3">
        <f>-42-K12-L12-M12</f>
        <v>0</v>
      </c>
      <c r="K12" s="3">
        <v>-42</v>
      </c>
      <c r="L12" s="3">
        <v>0</v>
      </c>
      <c r="M12" s="3">
        <v>0</v>
      </c>
      <c r="N12" s="3">
        <v>-50</v>
      </c>
      <c r="O12" s="3">
        <f>-50+50</f>
        <v>0</v>
      </c>
      <c r="P12" s="3">
        <v>-50</v>
      </c>
      <c r="Q12" s="3">
        <v>0</v>
      </c>
      <c r="R12" s="3">
        <v>0</v>
      </c>
      <c r="S12" s="3">
        <v>-91</v>
      </c>
      <c r="T12" s="3">
        <f t="shared" si="0"/>
        <v>0</v>
      </c>
      <c r="U12" s="3">
        <v>-91</v>
      </c>
      <c r="V12" s="3">
        <v>0</v>
      </c>
      <c r="W12" s="3">
        <v>0</v>
      </c>
      <c r="X12" s="3">
        <v>-124</v>
      </c>
      <c r="Y12" s="3">
        <f t="shared" si="1"/>
        <v>-124</v>
      </c>
      <c r="Z12" s="3">
        <v>0</v>
      </c>
      <c r="AA12" s="3">
        <v>0</v>
      </c>
      <c r="AB12" s="3">
        <v>0</v>
      </c>
    </row>
    <row r="13" spans="1:28">
      <c r="A13" s="58" t="s">
        <v>42</v>
      </c>
      <c r="B13" s="16"/>
      <c r="C13" s="3">
        <v>4340</v>
      </c>
      <c r="D13" s="3">
        <f t="shared" si="2"/>
        <v>36700</v>
      </c>
      <c r="E13" s="3">
        <f>36700-F13-G13-H13</f>
        <v>6114</v>
      </c>
      <c r="F13" s="3">
        <f>30586-14061-8883</f>
        <v>7642</v>
      </c>
      <c r="G13" s="3">
        <f>22944-8883</f>
        <v>14061</v>
      </c>
      <c r="H13" s="3">
        <v>8883</v>
      </c>
      <c r="I13" s="3">
        <f t="shared" si="3"/>
        <v>89904</v>
      </c>
      <c r="J13" s="3">
        <f>89904-K13-L13-M13</f>
        <v>16764</v>
      </c>
      <c r="K13" s="3">
        <f>73140-27744-26867</f>
        <v>18529</v>
      </c>
      <c r="L13" s="3">
        <f>54611-26867</f>
        <v>27744</v>
      </c>
      <c r="M13" s="3">
        <v>26867</v>
      </c>
      <c r="N13" s="3">
        <v>93694</v>
      </c>
      <c r="O13" s="3">
        <f>93694-68228</f>
        <v>25466</v>
      </c>
      <c r="P13" s="3">
        <f>68228-33737</f>
        <v>34491</v>
      </c>
      <c r="Q13" s="3">
        <f>33737-16868</f>
        <v>16869</v>
      </c>
      <c r="R13" s="3">
        <v>16868</v>
      </c>
      <c r="S13" s="3">
        <v>55411</v>
      </c>
      <c r="T13" s="3">
        <f t="shared" si="0"/>
        <v>16900</v>
      </c>
      <c r="U13" s="3">
        <v>14445</v>
      </c>
      <c r="V13" s="3">
        <v>12033</v>
      </c>
      <c r="W13" s="3">
        <v>12033</v>
      </c>
      <c r="X13" s="3">
        <v>20824</v>
      </c>
      <c r="Y13" s="3">
        <f t="shared" si="1"/>
        <v>11904</v>
      </c>
      <c r="Z13" s="3">
        <v>6192</v>
      </c>
      <c r="AA13" s="3">
        <v>0</v>
      </c>
      <c r="AB13" s="3">
        <v>2728</v>
      </c>
    </row>
    <row r="14" spans="1:28">
      <c r="A14" s="58" t="s">
        <v>43</v>
      </c>
      <c r="B14" s="16"/>
      <c r="C14" s="3">
        <f t="shared" si="2"/>
        <v>0</v>
      </c>
      <c r="D14" s="3">
        <f t="shared" si="2"/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3"/>
        <v>0</v>
      </c>
      <c r="J14" s="3">
        <f>0-K14-L14-M14</f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-282</v>
      </c>
      <c r="T14" s="3">
        <f t="shared" si="0"/>
        <v>300</v>
      </c>
      <c r="U14" s="3">
        <v>-551</v>
      </c>
      <c r="V14" s="3">
        <v>1540</v>
      </c>
      <c r="W14" s="3">
        <v>-1571</v>
      </c>
      <c r="X14" s="3">
        <v>2083</v>
      </c>
      <c r="Y14" s="3">
        <f t="shared" si="1"/>
        <v>1374</v>
      </c>
      <c r="Z14" s="3">
        <v>700</v>
      </c>
      <c r="AA14" s="3">
        <v>2454</v>
      </c>
      <c r="AB14" s="3">
        <v>-2445</v>
      </c>
    </row>
    <row r="15" spans="1:28">
      <c r="A15" s="83" t="s">
        <v>91</v>
      </c>
      <c r="B15" s="16"/>
      <c r="C15" s="3">
        <v>-1</v>
      </c>
      <c r="D15" s="3">
        <f t="shared" si="2"/>
        <v>534</v>
      </c>
      <c r="E15" s="3">
        <f>534-F15-G15-H15</f>
        <v>10</v>
      </c>
      <c r="F15" s="3">
        <f>524-152-379</f>
        <v>-7</v>
      </c>
      <c r="G15" s="3">
        <f>531-379</f>
        <v>152</v>
      </c>
      <c r="H15" s="3">
        <v>379</v>
      </c>
      <c r="I15" s="3">
        <f t="shared" si="3"/>
        <v>340</v>
      </c>
      <c r="J15" s="3">
        <f>340-K15-L15-M15</f>
        <v>117</v>
      </c>
      <c r="K15" s="3">
        <f>223-191-29</f>
        <v>3</v>
      </c>
      <c r="L15" s="3">
        <f>220-29</f>
        <v>191</v>
      </c>
      <c r="M15" s="3">
        <v>29</v>
      </c>
      <c r="N15" s="3">
        <v>1512</v>
      </c>
      <c r="O15" s="3">
        <f>1512-637</f>
        <v>875</v>
      </c>
      <c r="P15" s="3">
        <f>637-520</f>
        <v>117</v>
      </c>
      <c r="Q15" s="3">
        <f>520-45</f>
        <v>475</v>
      </c>
      <c r="R15" s="3">
        <v>45</v>
      </c>
      <c r="S15" s="3">
        <f>1875-897111</f>
        <v>-895236</v>
      </c>
      <c r="T15" s="3">
        <f t="shared" si="0"/>
        <v>1663</v>
      </c>
      <c r="U15" s="3">
        <v>44</v>
      </c>
      <c r="V15" s="3">
        <v>-896945</v>
      </c>
      <c r="W15" s="3">
        <v>2</v>
      </c>
      <c r="X15" s="3">
        <v>39109</v>
      </c>
      <c r="Y15" s="3">
        <f t="shared" si="1"/>
        <v>38242</v>
      </c>
      <c r="Z15" s="3">
        <v>30</v>
      </c>
      <c r="AA15" s="3">
        <v>755</v>
      </c>
      <c r="AB15" s="3">
        <v>82</v>
      </c>
    </row>
    <row r="16" spans="1:28">
      <c r="A16" s="58" t="s">
        <v>44</v>
      </c>
      <c r="B16" s="16"/>
      <c r="C16" s="3">
        <f t="shared" si="2"/>
        <v>0</v>
      </c>
      <c r="D16" s="3">
        <f t="shared" si="2"/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3"/>
        <v>0</v>
      </c>
      <c r="J16" s="3">
        <f>0-K16-L16-M16</f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  <c r="U16" s="3">
        <v>0</v>
      </c>
      <c r="V16" s="3">
        <v>0</v>
      </c>
      <c r="W16" s="3">
        <v>-3</v>
      </c>
      <c r="X16" s="3">
        <v>0</v>
      </c>
      <c r="Y16" s="3">
        <f t="shared" si="1"/>
        <v>0</v>
      </c>
      <c r="Z16" s="3">
        <v>0</v>
      </c>
      <c r="AA16" s="3">
        <v>0</v>
      </c>
      <c r="AB16" s="3">
        <v>0</v>
      </c>
    </row>
    <row r="17" spans="1:28">
      <c r="A17" s="58" t="s">
        <v>45</v>
      </c>
      <c r="B17" s="16"/>
      <c r="C17" s="3">
        <v>0</v>
      </c>
      <c r="D17" s="3">
        <f t="shared" si="2"/>
        <v>-54</v>
      </c>
      <c r="E17" s="3">
        <f>-54-F17-G17-H17</f>
        <v>1</v>
      </c>
      <c r="F17" s="3">
        <f>-55-0-(-56)</f>
        <v>1</v>
      </c>
      <c r="G17" s="3">
        <v>0</v>
      </c>
      <c r="H17" s="3">
        <v>-56</v>
      </c>
      <c r="I17" s="3">
        <f t="shared" si="3"/>
        <v>-23416</v>
      </c>
      <c r="J17" s="3">
        <f>-23416-K17-L17-M17</f>
        <v>-45</v>
      </c>
      <c r="K17" s="3">
        <f>-23371-23+2991</f>
        <v>-20403</v>
      </c>
      <c r="L17" s="3">
        <f>-2968-(-2991)</f>
        <v>23</v>
      </c>
      <c r="M17" s="3">
        <v>-2991</v>
      </c>
      <c r="N17" s="3">
        <v>-1702</v>
      </c>
      <c r="O17" s="3">
        <f>-1702+1690</f>
        <v>-12</v>
      </c>
      <c r="P17" s="3">
        <v>-1690</v>
      </c>
      <c r="Q17" s="3">
        <v>0</v>
      </c>
      <c r="R17" s="3">
        <v>0</v>
      </c>
      <c r="S17" s="3">
        <v>1140</v>
      </c>
      <c r="T17" s="3">
        <f t="shared" si="0"/>
        <v>1140</v>
      </c>
      <c r="U17" s="3">
        <v>0</v>
      </c>
      <c r="V17" s="3">
        <v>0</v>
      </c>
      <c r="W17" s="3">
        <v>0</v>
      </c>
      <c r="X17" s="3">
        <v>-10</v>
      </c>
      <c r="Y17" s="3">
        <f t="shared" si="1"/>
        <v>0</v>
      </c>
      <c r="Z17" s="3">
        <v>0</v>
      </c>
      <c r="AA17" s="3">
        <v>0</v>
      </c>
      <c r="AB17" s="3">
        <v>-10</v>
      </c>
    </row>
    <row r="18" spans="1:28">
      <c r="A18" s="58" t="s">
        <v>118</v>
      </c>
      <c r="B18" s="16"/>
      <c r="C18" s="3">
        <v>0</v>
      </c>
      <c r="D18" s="3">
        <f t="shared" si="2"/>
        <v>810</v>
      </c>
      <c r="E18" s="3">
        <v>0</v>
      </c>
      <c r="F18" s="3">
        <f>810-193-510</f>
        <v>107</v>
      </c>
      <c r="G18" s="3">
        <f>703-510</f>
        <v>193</v>
      </c>
      <c r="H18" s="3">
        <v>510</v>
      </c>
      <c r="I18" s="3">
        <f t="shared" si="3"/>
        <v>4479</v>
      </c>
      <c r="J18" s="3">
        <f>4479-K18-L18-M18</f>
        <v>0</v>
      </c>
      <c r="K18" s="3">
        <v>4479</v>
      </c>
      <c r="L18" s="3">
        <v>0</v>
      </c>
      <c r="M18" s="3">
        <v>0</v>
      </c>
      <c r="N18" s="3">
        <v>25965</v>
      </c>
      <c r="O18" s="3">
        <f>25965-25965</f>
        <v>0</v>
      </c>
      <c r="P18" s="3">
        <v>25965</v>
      </c>
      <c r="Q18" s="3">
        <v>0</v>
      </c>
      <c r="R18" s="3">
        <v>0</v>
      </c>
      <c r="S18" s="3"/>
      <c r="T18" s="3"/>
      <c r="U18" s="3"/>
      <c r="V18" s="3">
        <v>0</v>
      </c>
      <c r="W18" s="3"/>
      <c r="X18" s="3"/>
      <c r="Y18" s="3"/>
      <c r="Z18" s="3"/>
      <c r="AA18" s="3"/>
      <c r="AB18" s="3"/>
    </row>
    <row r="19" spans="1:28">
      <c r="A19" s="58" t="s">
        <v>119</v>
      </c>
      <c r="B19" s="16"/>
      <c r="C19" s="3">
        <v>0</v>
      </c>
      <c r="D19" s="3">
        <f t="shared" si="2"/>
        <v>319236</v>
      </c>
      <c r="E19" s="3">
        <v>319236</v>
      </c>
      <c r="F19" s="3">
        <v>0</v>
      </c>
      <c r="G19" s="3">
        <v>0</v>
      </c>
      <c r="H19" s="3">
        <v>0</v>
      </c>
      <c r="I19" s="3">
        <f t="shared" si="3"/>
        <v>0</v>
      </c>
      <c r="J19" s="3">
        <f>0-K19-L19-M19</f>
        <v>0</v>
      </c>
      <c r="K19" s="3">
        <v>0</v>
      </c>
      <c r="L19" s="3">
        <v>0</v>
      </c>
      <c r="M19" s="3">
        <v>0</v>
      </c>
      <c r="N19" s="3">
        <v>5269</v>
      </c>
      <c r="O19" s="3">
        <v>5269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>
      <c r="A20" s="58" t="s">
        <v>46</v>
      </c>
      <c r="B20" s="16"/>
      <c r="C20" s="3">
        <v>-4944</v>
      </c>
      <c r="D20" s="3">
        <f t="shared" si="2"/>
        <v>3839</v>
      </c>
      <c r="E20" s="3">
        <f>3839-F20-G20-H20</f>
        <v>3516</v>
      </c>
      <c r="F20" s="3">
        <f>323-3468-(-3753)</f>
        <v>608</v>
      </c>
      <c r="G20" s="3">
        <f>-285+3753</f>
        <v>3468</v>
      </c>
      <c r="H20" s="3">
        <v>-3753</v>
      </c>
      <c r="I20" s="3">
        <f t="shared" si="3"/>
        <v>2809</v>
      </c>
      <c r="J20" s="3">
        <f>2809-K20-L20-M20</f>
        <v>5143</v>
      </c>
      <c r="K20" s="3">
        <f>-2334+426-1472</f>
        <v>-3380</v>
      </c>
      <c r="L20" s="3">
        <f>1046-1472</f>
        <v>-426</v>
      </c>
      <c r="M20" s="3">
        <v>1472</v>
      </c>
      <c r="N20" s="3">
        <v>-2426</v>
      </c>
      <c r="O20" s="3">
        <f>-2426-1013</f>
        <v>-3439</v>
      </c>
      <c r="P20" s="3">
        <f>1013-3176</f>
        <v>-2163</v>
      </c>
      <c r="Q20" s="3">
        <f>3176-190</f>
        <v>2986</v>
      </c>
      <c r="R20" s="3">
        <v>190</v>
      </c>
      <c r="S20" s="3">
        <v>-1492</v>
      </c>
      <c r="T20" s="3">
        <f t="shared" si="0"/>
        <v>-860</v>
      </c>
      <c r="U20" s="3">
        <v>550</v>
      </c>
      <c r="V20" s="3">
        <v>-820</v>
      </c>
      <c r="W20" s="3">
        <v>-362</v>
      </c>
      <c r="X20" s="3">
        <v>0</v>
      </c>
      <c r="Y20" s="3">
        <f t="shared" si="1"/>
        <v>0</v>
      </c>
      <c r="Z20" s="3">
        <v>0</v>
      </c>
      <c r="AA20" s="3">
        <v>0</v>
      </c>
      <c r="AB20" s="3">
        <v>0</v>
      </c>
    </row>
    <row r="21" spans="1:28">
      <c r="A21" s="83" t="s">
        <v>90</v>
      </c>
      <c r="B21" s="16"/>
      <c r="C21" s="3">
        <f t="shared" si="2"/>
        <v>0</v>
      </c>
      <c r="D21" s="3">
        <f t="shared" si="2"/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3"/>
        <v>0</v>
      </c>
      <c r="J21" s="3">
        <f>0-K21-L21-M21</f>
        <v>0</v>
      </c>
      <c r="K21" s="3">
        <v>0</v>
      </c>
      <c r="L21" s="3">
        <v>0</v>
      </c>
      <c r="M21" s="3">
        <v>0</v>
      </c>
      <c r="N21" s="3"/>
      <c r="O21" s="3">
        <v>0</v>
      </c>
      <c r="P21" s="3">
        <v>0</v>
      </c>
      <c r="Q21" s="3">
        <v>0</v>
      </c>
      <c r="R21" s="3">
        <v>0</v>
      </c>
      <c r="S21" s="3"/>
      <c r="T21" s="3">
        <v>0</v>
      </c>
      <c r="U21" s="3"/>
      <c r="V21" s="3">
        <v>0</v>
      </c>
      <c r="W21" s="3">
        <v>0</v>
      </c>
      <c r="X21" s="3">
        <v>23937</v>
      </c>
      <c r="Y21" s="3">
        <f t="shared" si="1"/>
        <v>23937</v>
      </c>
      <c r="Z21" s="3"/>
      <c r="AA21" s="66"/>
      <c r="AB21" s="66"/>
    </row>
    <row r="22" spans="1:28">
      <c r="A22" s="83" t="s">
        <v>66</v>
      </c>
      <c r="B22" s="16"/>
      <c r="C22" s="3">
        <v>-159066</v>
      </c>
      <c r="D22" s="3">
        <f t="shared" si="2"/>
        <v>-18057</v>
      </c>
      <c r="E22" s="3">
        <v>107950</v>
      </c>
      <c r="F22" s="3">
        <v>25644</v>
      </c>
      <c r="G22" s="3">
        <v>-2851</v>
      </c>
      <c r="H22" s="3">
        <v>-148800</v>
      </c>
      <c r="I22" s="3">
        <f t="shared" si="3"/>
        <v>-28478</v>
      </c>
      <c r="J22" s="3">
        <v>10514</v>
      </c>
      <c r="K22" s="3">
        <v>115408</v>
      </c>
      <c r="L22" s="3">
        <v>-186611</v>
      </c>
      <c r="M22" s="3">
        <v>32211</v>
      </c>
      <c r="N22" s="3">
        <v>-351716</v>
      </c>
      <c r="O22" s="3">
        <v>26065</v>
      </c>
      <c r="P22" s="3">
        <f>(-377781)-(-143036)</f>
        <v>-234745</v>
      </c>
      <c r="Q22" s="3">
        <f>(-143036)-47902</f>
        <v>-190938</v>
      </c>
      <c r="R22" s="3">
        <v>47902</v>
      </c>
      <c r="S22" s="3">
        <v>-45490</v>
      </c>
      <c r="T22" s="3">
        <v>156318</v>
      </c>
      <c r="U22" s="3">
        <v>-212929</v>
      </c>
      <c r="V22" s="3">
        <v>-11410</v>
      </c>
      <c r="W22" s="3">
        <v>22531</v>
      </c>
      <c r="X22" s="3">
        <v>41691</v>
      </c>
      <c r="Y22" s="3">
        <f t="shared" si="1"/>
        <v>-28377</v>
      </c>
      <c r="Z22" s="3">
        <v>-342221</v>
      </c>
      <c r="AA22" s="66">
        <v>145365</v>
      </c>
      <c r="AB22" s="66">
        <v>266924</v>
      </c>
    </row>
    <row r="23" spans="1:28" ht="16.5">
      <c r="A23" s="84" t="s">
        <v>67</v>
      </c>
      <c r="B23" s="68"/>
      <c r="C23" s="65">
        <f t="shared" ref="C23:D23" si="4">SUM(C4:C22)</f>
        <v>-265021</v>
      </c>
      <c r="D23" s="65">
        <f t="shared" si="4"/>
        <v>-148495</v>
      </c>
      <c r="E23" s="65">
        <f t="shared" ref="E23" si="5">SUM(E4:E22)</f>
        <v>75405</v>
      </c>
      <c r="F23" s="65">
        <f t="shared" ref="F23:G23" si="6">SUM(F4:F22)</f>
        <v>-38665</v>
      </c>
      <c r="G23" s="65">
        <f t="shared" si="6"/>
        <v>-50550</v>
      </c>
      <c r="H23" s="65">
        <f t="shared" ref="H23:M23" si="7">SUM(H4:H22)</f>
        <v>-134685</v>
      </c>
      <c r="I23" s="65">
        <f t="shared" si="7"/>
        <v>81934</v>
      </c>
      <c r="J23" s="65">
        <f t="shared" si="7"/>
        <v>133769</v>
      </c>
      <c r="K23" s="65">
        <f t="shared" si="7"/>
        <v>140095</v>
      </c>
      <c r="L23" s="65">
        <f t="shared" si="7"/>
        <v>-339245</v>
      </c>
      <c r="M23" s="65">
        <f t="shared" si="7"/>
        <v>147315</v>
      </c>
      <c r="N23" s="65">
        <f t="shared" ref="N23:T23" si="8">SUM(N4:N22)</f>
        <v>183149</v>
      </c>
      <c r="O23" s="65">
        <f t="shared" si="8"/>
        <v>118229</v>
      </c>
      <c r="P23" s="65">
        <f t="shared" si="8"/>
        <v>-19986</v>
      </c>
      <c r="Q23" s="65">
        <f t="shared" si="8"/>
        <v>-99391</v>
      </c>
      <c r="R23" s="65">
        <f t="shared" si="8"/>
        <v>184297</v>
      </c>
      <c r="S23" s="65">
        <f t="shared" si="8"/>
        <v>236925</v>
      </c>
      <c r="T23" s="65">
        <f t="shared" si="8"/>
        <v>302909</v>
      </c>
      <c r="U23" s="65">
        <f t="shared" ref="U23:AB23" si="9">SUM(U4:U22)</f>
        <v>-176961</v>
      </c>
      <c r="V23" s="65">
        <f t="shared" si="9"/>
        <v>86526</v>
      </c>
      <c r="W23" s="65">
        <f t="shared" si="9"/>
        <v>24451</v>
      </c>
      <c r="X23" s="65">
        <f t="shared" si="9"/>
        <v>1191999</v>
      </c>
      <c r="Y23" s="65">
        <f t="shared" si="9"/>
        <v>212953</v>
      </c>
      <c r="Z23" s="65">
        <f t="shared" si="9"/>
        <v>-78271</v>
      </c>
      <c r="AA23" s="65">
        <f t="shared" si="9"/>
        <v>437695</v>
      </c>
      <c r="AB23" s="65">
        <f t="shared" si="9"/>
        <v>619622</v>
      </c>
    </row>
    <row r="24" spans="1:28">
      <c r="A24" s="83" t="s">
        <v>87</v>
      </c>
      <c r="B24" s="16"/>
      <c r="C24" s="3">
        <v>11029</v>
      </c>
      <c r="D24" s="3">
        <f t="shared" si="2"/>
        <v>46902</v>
      </c>
      <c r="E24" s="3">
        <f>46902-F24-G24-H24</f>
        <v>12813</v>
      </c>
      <c r="F24" s="3">
        <f>34089-8703-16447</f>
        <v>8939</v>
      </c>
      <c r="G24" s="3">
        <f>25150-16447</f>
        <v>8703</v>
      </c>
      <c r="H24" s="3">
        <v>16447</v>
      </c>
      <c r="I24" s="3">
        <f t="shared" si="3"/>
        <v>55817</v>
      </c>
      <c r="J24" s="3">
        <f>55817-K24-L24-M24</f>
        <v>11277</v>
      </c>
      <c r="K24" s="3">
        <f>44540-12196-18057</f>
        <v>14287</v>
      </c>
      <c r="L24" s="3">
        <f>30253-18057</f>
        <v>12196</v>
      </c>
      <c r="M24" s="3">
        <v>18057</v>
      </c>
      <c r="N24" s="3">
        <v>63441</v>
      </c>
      <c r="O24" s="3">
        <f>63441-45210</f>
        <v>18231</v>
      </c>
      <c r="P24" s="3">
        <f>45210-31269</f>
        <v>13941</v>
      </c>
      <c r="Q24" s="3">
        <f>31269-17789</f>
        <v>13480</v>
      </c>
      <c r="R24" s="3">
        <v>17789</v>
      </c>
      <c r="S24" s="91">
        <f>53708</f>
        <v>53708</v>
      </c>
      <c r="T24" s="3">
        <f t="shared" si="0"/>
        <v>16425</v>
      </c>
      <c r="U24" s="3">
        <v>15257</v>
      </c>
      <c r="V24" s="3">
        <v>11571</v>
      </c>
      <c r="W24" s="3">
        <v>10455</v>
      </c>
      <c r="X24" s="3">
        <f>41699+124</f>
        <v>41823</v>
      </c>
      <c r="Y24" s="3">
        <f t="shared" si="1"/>
        <v>13371</v>
      </c>
      <c r="Z24" s="3">
        <v>8669</v>
      </c>
      <c r="AA24" s="3">
        <v>8790</v>
      </c>
      <c r="AB24" s="3">
        <v>10993</v>
      </c>
    </row>
    <row r="25" spans="1:28">
      <c r="A25" s="83" t="s">
        <v>107</v>
      </c>
      <c r="B25" s="16"/>
      <c r="C25" s="3">
        <v>150</v>
      </c>
      <c r="D25" s="3">
        <f t="shared" si="2"/>
        <v>25</v>
      </c>
      <c r="E25" s="3">
        <v>0</v>
      </c>
      <c r="F25" s="3">
        <v>25</v>
      </c>
      <c r="G25" s="3">
        <v>0</v>
      </c>
      <c r="H25" s="3">
        <v>0</v>
      </c>
      <c r="I25" s="3">
        <f t="shared" si="3"/>
        <v>42</v>
      </c>
      <c r="J25" s="3">
        <f>42-K25-L25-M25</f>
        <v>0</v>
      </c>
      <c r="K25" s="3">
        <v>42</v>
      </c>
      <c r="L25" s="3">
        <v>0</v>
      </c>
      <c r="M25" s="3">
        <v>0</v>
      </c>
      <c r="N25" s="3">
        <v>50</v>
      </c>
      <c r="O25" s="3">
        <v>0</v>
      </c>
      <c r="P25" s="3">
        <v>50</v>
      </c>
      <c r="Q25" s="3">
        <v>0</v>
      </c>
      <c r="R25" s="3">
        <v>0</v>
      </c>
      <c r="S25" s="91">
        <v>91</v>
      </c>
      <c r="T25" s="3">
        <v>0</v>
      </c>
      <c r="U25" s="91">
        <v>91</v>
      </c>
      <c r="V25" s="3">
        <v>0</v>
      </c>
      <c r="W25" s="3"/>
      <c r="X25" s="3"/>
      <c r="Y25" s="3"/>
      <c r="Z25" s="3"/>
      <c r="AA25" s="3"/>
      <c r="AB25" s="3"/>
    </row>
    <row r="26" spans="1:28">
      <c r="A26" s="83" t="s">
        <v>47</v>
      </c>
      <c r="B26" s="16"/>
      <c r="C26" s="3">
        <v>-3</v>
      </c>
      <c r="D26" s="3">
        <f t="shared" si="2"/>
        <v>-12</v>
      </c>
      <c r="E26" s="3">
        <f>-12-F26-G26-H26</f>
        <v>-2</v>
      </c>
      <c r="F26" s="3">
        <f>-10+4+3</f>
        <v>-3</v>
      </c>
      <c r="G26" s="3">
        <f>-7+3</f>
        <v>-4</v>
      </c>
      <c r="H26" s="3">
        <v>-3</v>
      </c>
      <c r="I26" s="3">
        <f t="shared" si="3"/>
        <v>-95</v>
      </c>
      <c r="J26" s="3">
        <f>-95-K26-L26-M26</f>
        <v>-4</v>
      </c>
      <c r="K26" s="3">
        <f>-91+66+21</f>
        <v>-4</v>
      </c>
      <c r="L26" s="3">
        <f>-87-(-21)</f>
        <v>-66</v>
      </c>
      <c r="M26" s="3">
        <v>-21</v>
      </c>
      <c r="N26" s="3">
        <v>-42</v>
      </c>
      <c r="O26" s="3">
        <f>-42+26</f>
        <v>-16</v>
      </c>
      <c r="P26" s="3">
        <f>(-26)-(-24)</f>
        <v>-2</v>
      </c>
      <c r="Q26" s="3">
        <f>-24-(-16)</f>
        <v>-8</v>
      </c>
      <c r="R26" s="3">
        <v>-16</v>
      </c>
      <c r="S26" s="3">
        <v>-80</v>
      </c>
      <c r="T26" s="3">
        <f t="shared" si="0"/>
        <v>-16</v>
      </c>
      <c r="U26" s="3">
        <v>-16</v>
      </c>
      <c r="V26" s="3">
        <v>-16</v>
      </c>
      <c r="W26" s="3">
        <v>-32</v>
      </c>
      <c r="X26" s="3">
        <v>-244</v>
      </c>
      <c r="Y26" s="3">
        <f t="shared" si="1"/>
        <v>-29</v>
      </c>
      <c r="Z26" s="3">
        <v>-35</v>
      </c>
      <c r="AA26" s="3">
        <v>-118</v>
      </c>
      <c r="AB26" s="3">
        <v>-62</v>
      </c>
    </row>
    <row r="27" spans="1:28">
      <c r="A27" s="85" t="s">
        <v>48</v>
      </c>
      <c r="B27" s="16"/>
      <c r="C27" s="3">
        <v>-7596</v>
      </c>
      <c r="D27" s="3">
        <f t="shared" si="2"/>
        <v>-21531</v>
      </c>
      <c r="E27" s="113">
        <f>-21531-F27-G27-H27</f>
        <v>3571</v>
      </c>
      <c r="F27" s="91">
        <f>-25102+5522+4705</f>
        <v>-14875</v>
      </c>
      <c r="G27" s="3">
        <f>-10227+4705</f>
        <v>-5522</v>
      </c>
      <c r="H27" s="3">
        <v>-4705</v>
      </c>
      <c r="I27" s="3">
        <f t="shared" si="3"/>
        <v>-45292</v>
      </c>
      <c r="J27" s="3">
        <f>-45292-K27-L27-M27</f>
        <v>-8161</v>
      </c>
      <c r="K27" s="3">
        <v>-1776</v>
      </c>
      <c r="L27" s="3">
        <f>-35355-(-4083)</f>
        <v>-31272</v>
      </c>
      <c r="M27" s="3">
        <v>-4083</v>
      </c>
      <c r="N27" s="3">
        <v>-108199</v>
      </c>
      <c r="O27" s="3">
        <f>-108199+103294</f>
        <v>-4905</v>
      </c>
      <c r="P27" s="3">
        <f>(-103294)-(-67527)</f>
        <v>-35767</v>
      </c>
      <c r="Q27" s="3">
        <f>-67527-(-1239)</f>
        <v>-66288</v>
      </c>
      <c r="R27" s="3">
        <v>-1239</v>
      </c>
      <c r="S27" s="3">
        <v>-149582</v>
      </c>
      <c r="T27" s="3">
        <f t="shared" si="0"/>
        <v>-1893</v>
      </c>
      <c r="U27" s="3">
        <v>-4591</v>
      </c>
      <c r="V27" s="3">
        <v>-142835</v>
      </c>
      <c r="W27" s="3">
        <v>-263</v>
      </c>
      <c r="X27" s="3">
        <v>-129078</v>
      </c>
      <c r="Y27" s="3">
        <f t="shared" si="1"/>
        <v>-1349</v>
      </c>
      <c r="Z27" s="3">
        <v>-47963</v>
      </c>
      <c r="AA27" s="3">
        <v>-79048</v>
      </c>
      <c r="AB27" s="3">
        <v>-718</v>
      </c>
    </row>
    <row r="28" spans="1:28" s="13" customFormat="1" ht="16.5">
      <c r="A28" s="84" t="s">
        <v>59</v>
      </c>
      <c r="B28" s="16"/>
      <c r="C28" s="65">
        <f t="shared" ref="C28:D28" si="10">SUM(C23:C27)</f>
        <v>-261441</v>
      </c>
      <c r="D28" s="65">
        <f t="shared" si="10"/>
        <v>-123111</v>
      </c>
      <c r="E28" s="65">
        <f t="shared" ref="E28" si="11">SUM(E23:E27)</f>
        <v>91787</v>
      </c>
      <c r="F28" s="65">
        <f t="shared" ref="F28:G28" si="12">SUM(F23:F27)</f>
        <v>-44579</v>
      </c>
      <c r="G28" s="65">
        <f t="shared" si="12"/>
        <v>-47373</v>
      </c>
      <c r="H28" s="65">
        <f t="shared" ref="H28:M28" si="13">SUM(H23:H27)</f>
        <v>-122946</v>
      </c>
      <c r="I28" s="65">
        <f t="shared" si="13"/>
        <v>92406</v>
      </c>
      <c r="J28" s="65">
        <f t="shared" si="13"/>
        <v>136881</v>
      </c>
      <c r="K28" s="65">
        <f t="shared" si="13"/>
        <v>152644</v>
      </c>
      <c r="L28" s="65">
        <f t="shared" si="13"/>
        <v>-358387</v>
      </c>
      <c r="M28" s="65">
        <f t="shared" si="13"/>
        <v>161268</v>
      </c>
      <c r="N28" s="65">
        <f t="shared" ref="N28:S28" si="14">SUM(N23:N27)</f>
        <v>138399</v>
      </c>
      <c r="O28" s="65">
        <f t="shared" si="14"/>
        <v>131539</v>
      </c>
      <c r="P28" s="65">
        <f t="shared" si="14"/>
        <v>-41764</v>
      </c>
      <c r="Q28" s="65">
        <f t="shared" si="14"/>
        <v>-152207</v>
      </c>
      <c r="R28" s="65">
        <f t="shared" si="14"/>
        <v>200831</v>
      </c>
      <c r="S28" s="92">
        <f t="shared" si="14"/>
        <v>141062</v>
      </c>
      <c r="T28" s="92">
        <f t="shared" si="0"/>
        <v>317425</v>
      </c>
      <c r="U28" s="92">
        <v>-166220</v>
      </c>
      <c r="V28" s="65">
        <f>SUM(V23:V27)</f>
        <v>-44754</v>
      </c>
      <c r="W28" s="65">
        <f>SUM(W23:W27)</f>
        <v>34611</v>
      </c>
      <c r="X28" s="65">
        <f>SUM(X23:X27)</f>
        <v>1104500</v>
      </c>
      <c r="Y28" s="65">
        <f>SUM(Y23:Y27)</f>
        <v>224946</v>
      </c>
      <c r="Z28" s="65">
        <v>-117600</v>
      </c>
      <c r="AA28" s="65">
        <f>SUM(AA23:AA27)</f>
        <v>367319</v>
      </c>
      <c r="AB28" s="65">
        <f>SUM(AB23:AB27)</f>
        <v>629835</v>
      </c>
    </row>
    <row r="29" spans="1:28">
      <c r="A29" s="86"/>
      <c r="B29" s="1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14"/>
      <c r="AA29" s="14"/>
      <c r="AB29" s="14"/>
    </row>
    <row r="30" spans="1:28" ht="16.5">
      <c r="A30" s="59" t="s">
        <v>60</v>
      </c>
      <c r="B30" s="1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14"/>
      <c r="AA30" s="14"/>
      <c r="AB30" s="14"/>
    </row>
    <row r="31" spans="1:28">
      <c r="A31" s="58" t="s">
        <v>49</v>
      </c>
      <c r="B31" s="16"/>
      <c r="C31" s="3">
        <v>0</v>
      </c>
      <c r="D31" s="3">
        <f t="shared" ref="C31:D46" si="15">E31+F31+G31+H31</f>
        <v>-30000</v>
      </c>
      <c r="E31" s="3">
        <v>0</v>
      </c>
      <c r="F31" s="3">
        <v>-30000</v>
      </c>
      <c r="G31" s="3">
        <v>0</v>
      </c>
      <c r="H31" s="3">
        <v>0</v>
      </c>
      <c r="I31" s="3">
        <f t="shared" ref="I31:I46" si="16">J31+K31+L31+M31</f>
        <v>-16771</v>
      </c>
      <c r="J31" s="3">
        <f>-16771-K31-L31-M31</f>
        <v>-4480</v>
      </c>
      <c r="K31" s="3">
        <f>-12291-63+8241</f>
        <v>-4113</v>
      </c>
      <c r="L31" s="3">
        <f>-8178-(-8241)</f>
        <v>63</v>
      </c>
      <c r="M31" s="3">
        <v>-8241</v>
      </c>
      <c r="N31" s="3">
        <v>-20083</v>
      </c>
      <c r="O31" s="3">
        <f>-20083+19728</f>
        <v>-355</v>
      </c>
      <c r="P31" s="3">
        <f>(-19728)-(-9927)</f>
        <v>-9801</v>
      </c>
      <c r="Q31" s="3">
        <f>-9927</f>
        <v>-9927</v>
      </c>
      <c r="R31" s="3">
        <v>0</v>
      </c>
      <c r="S31" s="3">
        <v>-47698</v>
      </c>
      <c r="T31" s="3">
        <f>S31-SUM(U31:W31)</f>
        <v>0</v>
      </c>
      <c r="U31" s="3">
        <v>0</v>
      </c>
      <c r="V31" s="3">
        <v>0</v>
      </c>
      <c r="W31" s="3">
        <v>-47698</v>
      </c>
      <c r="X31" s="3">
        <v>-20000</v>
      </c>
      <c r="Y31" s="3">
        <f t="shared" ref="Y31:Y46" si="17">X31-SUM(Z31:AB31)</f>
        <v>0</v>
      </c>
      <c r="Z31" s="3">
        <v>0</v>
      </c>
      <c r="AA31" s="3">
        <v>0</v>
      </c>
      <c r="AB31" s="3">
        <v>-20000</v>
      </c>
    </row>
    <row r="32" spans="1:28">
      <c r="A32" s="58" t="s">
        <v>50</v>
      </c>
      <c r="B32" s="16"/>
      <c r="C32" s="3">
        <v>0</v>
      </c>
      <c r="D32" s="3">
        <f t="shared" si="15"/>
        <v>50031</v>
      </c>
      <c r="E32" s="3">
        <f>50031-F32-G32-H32</f>
        <v>-33</v>
      </c>
      <c r="F32" s="3">
        <f>50064+29-50131</f>
        <v>-38</v>
      </c>
      <c r="G32" s="3">
        <f>50102-50131</f>
        <v>-29</v>
      </c>
      <c r="H32" s="3">
        <v>50131</v>
      </c>
      <c r="I32" s="3">
        <f t="shared" si="16"/>
        <v>39458</v>
      </c>
      <c r="J32" s="3">
        <f>39458-K32-L32-M32</f>
        <v>76</v>
      </c>
      <c r="K32" s="3">
        <f>39382+55-7172</f>
        <v>32265</v>
      </c>
      <c r="L32" s="3">
        <f>7117-7172</f>
        <v>-55</v>
      </c>
      <c r="M32" s="3">
        <v>7172</v>
      </c>
      <c r="N32" s="3">
        <v>3485</v>
      </c>
      <c r="O32" s="3">
        <f>3485-3459</f>
        <v>26</v>
      </c>
      <c r="P32" s="3">
        <v>3459</v>
      </c>
      <c r="Q32" s="3">
        <v>0</v>
      </c>
      <c r="R32" s="3">
        <v>0</v>
      </c>
      <c r="S32" s="3">
        <v>0</v>
      </c>
      <c r="T32" s="3">
        <f t="shared" si="0"/>
        <v>0</v>
      </c>
      <c r="U32" s="3">
        <v>0</v>
      </c>
      <c r="V32" s="3">
        <v>0</v>
      </c>
      <c r="W32" s="3">
        <v>0</v>
      </c>
      <c r="X32" s="3">
        <v>20010</v>
      </c>
      <c r="Y32" s="3">
        <f t="shared" si="17"/>
        <v>0</v>
      </c>
      <c r="Z32" s="3">
        <v>0</v>
      </c>
      <c r="AA32" s="3">
        <v>0</v>
      </c>
      <c r="AB32" s="3">
        <v>20010</v>
      </c>
    </row>
    <row r="33" spans="1:29" s="13" customFormat="1">
      <c r="A33" s="58" t="s">
        <v>51</v>
      </c>
      <c r="B33" s="16"/>
      <c r="C33" s="3">
        <v>-100507</v>
      </c>
      <c r="D33" s="3">
        <f t="shared" si="15"/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16"/>
        <v>0</v>
      </c>
      <c r="J33" s="3">
        <f>0-K33-L33-M33</f>
        <v>0</v>
      </c>
      <c r="K33" s="3">
        <v>0</v>
      </c>
      <c r="L33" s="3">
        <v>0</v>
      </c>
      <c r="M33" s="3">
        <v>0</v>
      </c>
      <c r="N33" s="3">
        <v>-403134</v>
      </c>
      <c r="O33" s="3">
        <v>-79698</v>
      </c>
      <c r="P33" s="3">
        <f>-323436-(-185419)</f>
        <v>-138017</v>
      </c>
      <c r="Q33" s="3">
        <f>-185419-(-1003136)</f>
        <v>817717</v>
      </c>
      <c r="R33" s="3">
        <v>-1003136</v>
      </c>
      <c r="S33" s="3">
        <v>-1439536</v>
      </c>
      <c r="T33" s="3">
        <f t="shared" si="0"/>
        <v>-444920</v>
      </c>
      <c r="U33" s="3">
        <v>143306</v>
      </c>
      <c r="V33" s="3">
        <v>-1085550</v>
      </c>
      <c r="W33" s="3">
        <v>-52372</v>
      </c>
      <c r="X33" s="3">
        <v>-519490</v>
      </c>
      <c r="Y33" s="3">
        <f t="shared" si="17"/>
        <v>533137</v>
      </c>
      <c r="Z33" s="3">
        <v>398624</v>
      </c>
      <c r="AA33" s="3">
        <v>-987530</v>
      </c>
      <c r="AB33" s="3">
        <v>-463721</v>
      </c>
    </row>
    <row r="34" spans="1:29" s="13" customFormat="1">
      <c r="A34" s="58" t="s">
        <v>114</v>
      </c>
      <c r="B34" s="16"/>
      <c r="C34" s="3">
        <v>0</v>
      </c>
      <c r="D34" s="3">
        <f t="shared" si="15"/>
        <v>692100</v>
      </c>
      <c r="E34" s="3">
        <f>692100-F34-G34-H34</f>
        <v>365458</v>
      </c>
      <c r="F34" s="3">
        <f>326642-93395-104612</f>
        <v>128635</v>
      </c>
      <c r="G34" s="3">
        <f>198007-104612</f>
        <v>93395</v>
      </c>
      <c r="H34" s="3">
        <v>104612</v>
      </c>
      <c r="I34" s="3">
        <f t="shared" si="16"/>
        <v>492667</v>
      </c>
      <c r="J34" s="3">
        <f>492667-K34-L34-M34</f>
        <v>-220060</v>
      </c>
      <c r="K34" s="3">
        <f>712727-218877-208271</f>
        <v>285579</v>
      </c>
      <c r="L34" s="3">
        <f>427148-208271</f>
        <v>218877</v>
      </c>
      <c r="M34" s="3">
        <v>208271</v>
      </c>
      <c r="N34" s="3"/>
      <c r="O34" s="3">
        <v>0</v>
      </c>
      <c r="P34" s="3"/>
      <c r="Q34" s="3"/>
      <c r="R34" s="3">
        <v>0</v>
      </c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9">
      <c r="A35" s="58" t="s">
        <v>112</v>
      </c>
      <c r="B35" s="16"/>
      <c r="C35" s="3">
        <f t="shared" si="15"/>
        <v>0</v>
      </c>
      <c r="D35" s="3">
        <f t="shared" si="15"/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16"/>
        <v>0</v>
      </c>
      <c r="J35" s="3">
        <f>0-K35-L35-M35</f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f t="shared" si="0"/>
        <v>0</v>
      </c>
      <c r="U35" s="3">
        <v>0</v>
      </c>
      <c r="V35" s="3">
        <v>0</v>
      </c>
      <c r="W35" s="3">
        <v>0</v>
      </c>
      <c r="X35" s="3">
        <v>-29560</v>
      </c>
      <c r="Y35" s="3">
        <f t="shared" si="17"/>
        <v>0</v>
      </c>
      <c r="Z35" s="3">
        <v>0</v>
      </c>
      <c r="AA35" s="3">
        <v>-29560</v>
      </c>
      <c r="AB35" s="12">
        <v>0</v>
      </c>
    </row>
    <row r="36" spans="1:29">
      <c r="A36" s="58" t="s">
        <v>111</v>
      </c>
      <c r="B36" s="16"/>
      <c r="C36" s="3">
        <f t="shared" si="15"/>
        <v>0</v>
      </c>
      <c r="D36" s="3">
        <f t="shared" si="15"/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16"/>
        <v>0</v>
      </c>
      <c r="J36" s="3">
        <f>0-K36-L36-M36</f>
        <v>0</v>
      </c>
      <c r="K36" s="3">
        <v>0</v>
      </c>
      <c r="L36" s="3">
        <v>0</v>
      </c>
      <c r="M36" s="3">
        <v>0</v>
      </c>
      <c r="N36" s="3">
        <v>-45862</v>
      </c>
      <c r="O36" s="3">
        <v>-45862</v>
      </c>
      <c r="P36" s="3">
        <v>0</v>
      </c>
      <c r="Q36" s="3">
        <v>0</v>
      </c>
      <c r="R36" s="3">
        <v>0</v>
      </c>
      <c r="S36" s="3">
        <v>0</v>
      </c>
      <c r="T36" s="3"/>
      <c r="U36" s="3"/>
      <c r="V36" s="3"/>
      <c r="W36" s="3"/>
      <c r="X36" s="3"/>
      <c r="Y36" s="3"/>
      <c r="Z36" s="3"/>
      <c r="AA36" s="3"/>
    </row>
    <row r="37" spans="1:29">
      <c r="A37" s="58" t="s">
        <v>162</v>
      </c>
      <c r="B37" s="16"/>
      <c r="C37" s="3">
        <v>20151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9">
      <c r="A38" s="58" t="s">
        <v>71</v>
      </c>
      <c r="B38" s="16"/>
      <c r="C38" s="3">
        <f t="shared" si="15"/>
        <v>0</v>
      </c>
      <c r="D38" s="3">
        <f t="shared" si="15"/>
        <v>0</v>
      </c>
      <c r="E38" s="3">
        <v>0</v>
      </c>
      <c r="F38" s="3">
        <v>0</v>
      </c>
      <c r="G38" s="3">
        <v>0</v>
      </c>
      <c r="H38" s="3">
        <v>0</v>
      </c>
      <c r="I38" s="3">
        <f t="shared" si="16"/>
        <v>0</v>
      </c>
      <c r="J38" s="3">
        <f>0-K38-L38-M38</f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-10250</v>
      </c>
      <c r="T38" s="3">
        <f t="shared" si="0"/>
        <v>-179</v>
      </c>
      <c r="U38" s="3">
        <v>115</v>
      </c>
      <c r="V38" s="3">
        <v>-10186</v>
      </c>
      <c r="W38" s="3">
        <v>0</v>
      </c>
      <c r="X38" s="3">
        <v>0</v>
      </c>
      <c r="Y38" s="3">
        <f t="shared" si="17"/>
        <v>0</v>
      </c>
      <c r="Z38" s="3">
        <v>0</v>
      </c>
      <c r="AA38" s="12">
        <v>0</v>
      </c>
      <c r="AB38" s="12">
        <v>0</v>
      </c>
    </row>
    <row r="39" spans="1:29">
      <c r="A39" s="58" t="s">
        <v>88</v>
      </c>
      <c r="B39" s="16"/>
      <c r="C39" s="3">
        <f t="shared" si="15"/>
        <v>0</v>
      </c>
      <c r="D39" s="3">
        <f t="shared" si="15"/>
        <v>0</v>
      </c>
      <c r="E39" s="3">
        <v>0</v>
      </c>
      <c r="F39" s="3">
        <v>0</v>
      </c>
      <c r="G39" s="3">
        <v>0</v>
      </c>
      <c r="H39" s="3">
        <v>0</v>
      </c>
      <c r="I39" s="3">
        <f t="shared" si="16"/>
        <v>0</v>
      </c>
      <c r="J39" s="3">
        <f>0-K39-L39-M39</f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f t="shared" si="0"/>
        <v>0</v>
      </c>
      <c r="U39" s="3">
        <v>0</v>
      </c>
      <c r="V39" s="3">
        <v>0</v>
      </c>
      <c r="W39" s="3">
        <v>0</v>
      </c>
      <c r="X39" s="3">
        <v>-507398</v>
      </c>
      <c r="Y39" s="3">
        <f t="shared" si="17"/>
        <v>-507398</v>
      </c>
      <c r="Z39" s="3"/>
    </row>
    <row r="40" spans="1:29" s="13" customFormat="1">
      <c r="A40" s="58" t="s">
        <v>52</v>
      </c>
      <c r="B40" s="16"/>
      <c r="C40" s="3">
        <v>-4328</v>
      </c>
      <c r="D40" s="3">
        <f t="shared" si="15"/>
        <v>-19764</v>
      </c>
      <c r="E40" s="3">
        <f>-19764-F40-G40-H40</f>
        <v>-7407</v>
      </c>
      <c r="F40" s="3">
        <f>-12357+2388+4640</f>
        <v>-5329</v>
      </c>
      <c r="G40" s="3">
        <f>-7028+4640</f>
        <v>-2388</v>
      </c>
      <c r="H40" s="3">
        <v>-4640</v>
      </c>
      <c r="I40" s="3">
        <f t="shared" si="16"/>
        <v>-41605</v>
      </c>
      <c r="J40" s="3">
        <f>-41605-K40-L40-M40</f>
        <v>-9427</v>
      </c>
      <c r="K40" s="3">
        <f>-32178+2603+6281</f>
        <v>-23294</v>
      </c>
      <c r="L40" s="3">
        <f>-8884-(-6281)</f>
        <v>-2603</v>
      </c>
      <c r="M40" s="3">
        <v>-6281</v>
      </c>
      <c r="N40" s="3">
        <v>-29339</v>
      </c>
      <c r="O40" s="3">
        <f>-29339+18675</f>
        <v>-10664</v>
      </c>
      <c r="P40" s="3">
        <f>-18675-(-14675)</f>
        <v>-4000</v>
      </c>
      <c r="Q40" s="3">
        <f>-14675-(-10944)</f>
        <v>-3731</v>
      </c>
      <c r="R40" s="3">
        <v>-10944</v>
      </c>
      <c r="S40" s="3">
        <v>-46357</v>
      </c>
      <c r="T40" s="3">
        <f t="shared" si="0"/>
        <v>-11453</v>
      </c>
      <c r="U40" s="3">
        <v>-8525</v>
      </c>
      <c r="V40" s="3">
        <v>-14246</v>
      </c>
      <c r="W40" s="3">
        <v>-12133</v>
      </c>
      <c r="X40" s="3">
        <v>-37903</v>
      </c>
      <c r="Y40" s="3">
        <f t="shared" si="17"/>
        <v>-9777</v>
      </c>
      <c r="Z40" s="3">
        <v>-6301</v>
      </c>
      <c r="AA40" s="3">
        <v>-9010</v>
      </c>
      <c r="AB40" s="3">
        <v>-12815</v>
      </c>
    </row>
    <row r="41" spans="1:29">
      <c r="A41" s="58" t="s">
        <v>142</v>
      </c>
      <c r="B41" s="16"/>
      <c r="C41" s="3">
        <v>17</v>
      </c>
      <c r="D41" s="3">
        <f t="shared" si="15"/>
        <v>215</v>
      </c>
      <c r="E41" s="3">
        <f>215-F41-G41-H41</f>
        <v>-2</v>
      </c>
      <c r="F41" s="3">
        <f>217-12</f>
        <v>205</v>
      </c>
      <c r="G41" s="3">
        <v>12</v>
      </c>
      <c r="H41" s="3">
        <v>0</v>
      </c>
      <c r="I41" s="3">
        <f t="shared" si="16"/>
        <v>44</v>
      </c>
      <c r="J41" s="3">
        <f>44-K41-L41-M41</f>
        <v>0</v>
      </c>
      <c r="K41" s="3">
        <f>44-33-10</f>
        <v>1</v>
      </c>
      <c r="L41" s="3">
        <f>43-10</f>
        <v>33</v>
      </c>
      <c r="M41" s="3">
        <v>10</v>
      </c>
      <c r="N41" s="3">
        <v>185</v>
      </c>
      <c r="O41" s="3">
        <f>185-23</f>
        <v>162</v>
      </c>
      <c r="P41" s="3">
        <f>23-20</f>
        <v>3</v>
      </c>
      <c r="Q41" s="3">
        <f>20-20</f>
        <v>0</v>
      </c>
      <c r="R41" s="3">
        <v>20</v>
      </c>
      <c r="S41" s="3">
        <f>13+1703639</f>
        <v>1703652</v>
      </c>
      <c r="T41" s="3">
        <f t="shared" si="0"/>
        <v>0</v>
      </c>
      <c r="U41" s="3">
        <v>0</v>
      </c>
      <c r="V41" s="3">
        <v>1703639</v>
      </c>
      <c r="W41" s="3">
        <v>13</v>
      </c>
      <c r="X41" s="3">
        <v>0</v>
      </c>
      <c r="Y41" s="3">
        <f t="shared" si="17"/>
        <v>0</v>
      </c>
      <c r="Z41" s="3">
        <v>0</v>
      </c>
      <c r="AA41" s="12">
        <v>0</v>
      </c>
      <c r="AB41" s="12">
        <v>0</v>
      </c>
    </row>
    <row r="42" spans="1:29">
      <c r="A42" s="83" t="s">
        <v>72</v>
      </c>
      <c r="B42" s="16"/>
      <c r="C42" s="3">
        <v>46</v>
      </c>
      <c r="D42" s="3">
        <f t="shared" si="15"/>
        <v>948</v>
      </c>
      <c r="E42" s="3">
        <f>948-F42-G42-H42</f>
        <v>-474</v>
      </c>
      <c r="F42" s="3">
        <f>1422-189-1274</f>
        <v>-41</v>
      </c>
      <c r="G42" s="3">
        <f>1463-1274</f>
        <v>189</v>
      </c>
      <c r="H42" s="3">
        <v>1274</v>
      </c>
      <c r="I42" s="3">
        <f t="shared" si="16"/>
        <v>-407</v>
      </c>
      <c r="J42" s="3">
        <f>-407-K42-L42-M42</f>
        <v>-368</v>
      </c>
      <c r="K42" s="3">
        <f>-39+291-444</f>
        <v>-192</v>
      </c>
      <c r="L42" s="3">
        <f>153-444</f>
        <v>-291</v>
      </c>
      <c r="M42" s="3">
        <v>444</v>
      </c>
      <c r="N42" s="3">
        <v>-414</v>
      </c>
      <c r="O42" s="3">
        <f>-414-66</f>
        <v>-480</v>
      </c>
      <c r="P42" s="3">
        <f>66-63</f>
        <v>3</v>
      </c>
      <c r="Q42" s="3">
        <f>63-(-15)</f>
        <v>78</v>
      </c>
      <c r="R42" s="3">
        <v>-15</v>
      </c>
      <c r="S42" s="3">
        <v>-4094</v>
      </c>
      <c r="T42" s="3">
        <f t="shared" si="0"/>
        <v>-184</v>
      </c>
      <c r="U42" s="3">
        <v>-95</v>
      </c>
      <c r="V42" s="3">
        <v>-117</v>
      </c>
      <c r="W42" s="3">
        <v>-3698</v>
      </c>
      <c r="X42" s="3">
        <v>-1438</v>
      </c>
      <c r="Y42" s="3">
        <f t="shared" si="17"/>
        <v>-517</v>
      </c>
      <c r="Z42" s="3">
        <v>-1102</v>
      </c>
      <c r="AA42" s="3">
        <v>140</v>
      </c>
      <c r="AB42" s="3">
        <v>41</v>
      </c>
    </row>
    <row r="43" spans="1:29">
      <c r="A43" s="83" t="s">
        <v>53</v>
      </c>
      <c r="B43" s="16"/>
      <c r="C43" s="3">
        <v>-6528</v>
      </c>
      <c r="D43" s="3">
        <f t="shared" si="15"/>
        <v>-116011</v>
      </c>
      <c r="E43" s="3">
        <f>-116011-F43-G43-H43</f>
        <v>-41301</v>
      </c>
      <c r="F43" s="3">
        <f>-74710+1792+40184</f>
        <v>-32734</v>
      </c>
      <c r="G43" s="3">
        <f>-41976+40184</f>
        <v>-1792</v>
      </c>
      <c r="H43" s="3">
        <v>-40184</v>
      </c>
      <c r="I43" s="3">
        <f t="shared" si="16"/>
        <v>-30697</v>
      </c>
      <c r="J43" s="3">
        <f>-30697-K43-L43-M43</f>
        <v>-6804</v>
      </c>
      <c r="K43" s="3">
        <f>-23893+829+35303</f>
        <v>12239</v>
      </c>
      <c r="L43" s="3">
        <f>-36132-(-35303)</f>
        <v>-829</v>
      </c>
      <c r="M43" s="3">
        <v>-35303</v>
      </c>
      <c r="N43" s="3">
        <v>-124719</v>
      </c>
      <c r="O43" s="3">
        <f>-124719+16190</f>
        <v>-108529</v>
      </c>
      <c r="P43" s="3">
        <f>-16190-(-10376)</f>
        <v>-5814</v>
      </c>
      <c r="Q43" s="3">
        <f>-10376-(-3302)</f>
        <v>-7074</v>
      </c>
      <c r="R43" s="3">
        <v>-3302</v>
      </c>
      <c r="S43" s="3">
        <v>-98143</v>
      </c>
      <c r="T43" s="3">
        <f t="shared" si="0"/>
        <v>-40237</v>
      </c>
      <c r="U43" s="3">
        <v>-9791</v>
      </c>
      <c r="V43" s="3">
        <v>-33319</v>
      </c>
      <c r="W43" s="3">
        <v>-14796</v>
      </c>
      <c r="X43" s="3">
        <v>-64537</v>
      </c>
      <c r="Y43" s="3">
        <f t="shared" si="17"/>
        <v>-17745</v>
      </c>
      <c r="Z43" s="3">
        <v>-17514</v>
      </c>
      <c r="AA43" s="3">
        <v>-11404</v>
      </c>
      <c r="AB43" s="3">
        <v>-17874</v>
      </c>
    </row>
    <row r="44" spans="1:29">
      <c r="A44" s="104" t="s">
        <v>129</v>
      </c>
      <c r="B44" s="16"/>
      <c r="C44" s="3">
        <f t="shared" si="15"/>
        <v>0</v>
      </c>
      <c r="D44" s="3">
        <f t="shared" si="15"/>
        <v>0</v>
      </c>
      <c r="E44" s="3">
        <v>0</v>
      </c>
      <c r="F44" s="3">
        <v>0</v>
      </c>
      <c r="G44" s="3">
        <v>0</v>
      </c>
      <c r="H44" s="3">
        <v>0</v>
      </c>
      <c r="I44" s="3">
        <f t="shared" si="16"/>
        <v>507</v>
      </c>
      <c r="J44" s="3">
        <f>507-K44-L44-M44</f>
        <v>0</v>
      </c>
      <c r="K44" s="3">
        <f>507-507</f>
        <v>0</v>
      </c>
      <c r="L44" s="3">
        <v>507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9">
      <c r="A45" s="104" t="s">
        <v>121</v>
      </c>
      <c r="C45" s="3">
        <v>-2834</v>
      </c>
      <c r="D45" s="3">
        <f t="shared" si="15"/>
        <v>-2861</v>
      </c>
      <c r="E45" s="3">
        <f>-2861-F45-G45-H45</f>
        <v>-1769</v>
      </c>
      <c r="F45" s="3">
        <v>-1092</v>
      </c>
      <c r="G45" s="3">
        <v>0</v>
      </c>
      <c r="H45" s="3">
        <v>0</v>
      </c>
      <c r="I45" s="3">
        <f t="shared" si="16"/>
        <v>633</v>
      </c>
      <c r="J45" s="3">
        <f>633-K45-L45-M45</f>
        <v>71</v>
      </c>
      <c r="K45" s="3">
        <f>562+419-632</f>
        <v>349</v>
      </c>
      <c r="L45" s="3">
        <f>213-632</f>
        <v>-419</v>
      </c>
      <c r="M45" s="3">
        <v>632</v>
      </c>
      <c r="N45" s="3">
        <v>-683</v>
      </c>
      <c r="O45" s="3">
        <f>-683</f>
        <v>-683</v>
      </c>
      <c r="P45" s="3">
        <f>0-(-51)</f>
        <v>51</v>
      </c>
      <c r="Q45" s="3">
        <f>-51-(-51)</f>
        <v>0</v>
      </c>
      <c r="R45" s="3">
        <v>-51</v>
      </c>
      <c r="S45" s="3">
        <v>0</v>
      </c>
      <c r="T45" s="3">
        <f t="shared" si="0"/>
        <v>1762</v>
      </c>
      <c r="U45" s="3">
        <v>-1762</v>
      </c>
      <c r="V45" s="3">
        <v>204</v>
      </c>
      <c r="W45" s="3">
        <v>-204</v>
      </c>
      <c r="X45" s="3">
        <v>0</v>
      </c>
      <c r="Y45" s="3">
        <f t="shared" si="17"/>
        <v>0</v>
      </c>
      <c r="Z45" s="3">
        <v>0</v>
      </c>
      <c r="AA45" s="3">
        <v>0</v>
      </c>
      <c r="AB45" s="3">
        <v>0</v>
      </c>
    </row>
    <row r="46" spans="1:29">
      <c r="A46" s="104" t="s">
        <v>130</v>
      </c>
      <c r="B46" s="16"/>
      <c r="C46" s="3">
        <f t="shared" si="15"/>
        <v>0</v>
      </c>
      <c r="D46" s="3">
        <f t="shared" si="15"/>
        <v>0</v>
      </c>
      <c r="E46" s="3">
        <v>0</v>
      </c>
      <c r="F46" s="3">
        <v>0</v>
      </c>
      <c r="G46" s="3">
        <v>0</v>
      </c>
      <c r="H46" s="3">
        <v>0</v>
      </c>
      <c r="I46" s="3">
        <f t="shared" si="16"/>
        <v>0</v>
      </c>
      <c r="J46" s="3">
        <f>0-K46-L46-M46</f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f t="shared" si="0"/>
        <v>0</v>
      </c>
      <c r="U46" s="3">
        <v>0</v>
      </c>
      <c r="V46" s="3">
        <v>0</v>
      </c>
      <c r="W46" s="3">
        <v>0</v>
      </c>
      <c r="X46" s="3">
        <v>48000</v>
      </c>
      <c r="Y46" s="3">
        <f t="shared" si="17"/>
        <v>12000</v>
      </c>
      <c r="Z46" s="3">
        <v>12000</v>
      </c>
      <c r="AA46" s="3">
        <v>12000</v>
      </c>
      <c r="AB46" s="3">
        <v>12000</v>
      </c>
      <c r="AC46" s="18"/>
    </row>
    <row r="47" spans="1:29" ht="16.5">
      <c r="A47" s="59" t="s">
        <v>54</v>
      </c>
      <c r="B47" s="27"/>
      <c r="C47" s="65">
        <f t="shared" ref="C47:D47" si="18">SUM(C31:C46)</f>
        <v>-93983</v>
      </c>
      <c r="D47" s="65">
        <f t="shared" si="18"/>
        <v>574658</v>
      </c>
      <c r="E47" s="65">
        <f t="shared" ref="E47" si="19">SUM(E31:E46)</f>
        <v>314472</v>
      </c>
      <c r="F47" s="65">
        <f t="shared" ref="F47:G47" si="20">SUM(F31:F46)</f>
        <v>59606</v>
      </c>
      <c r="G47" s="65">
        <f t="shared" si="20"/>
        <v>89387</v>
      </c>
      <c r="H47" s="65">
        <f t="shared" ref="H47:M47" si="21">SUM(H31:H46)</f>
        <v>111193</v>
      </c>
      <c r="I47" s="65">
        <f t="shared" si="21"/>
        <v>443829</v>
      </c>
      <c r="J47" s="65">
        <f t="shared" si="21"/>
        <v>-240992</v>
      </c>
      <c r="K47" s="65">
        <f t="shared" si="21"/>
        <v>302834</v>
      </c>
      <c r="L47" s="65">
        <f t="shared" si="21"/>
        <v>215283</v>
      </c>
      <c r="M47" s="65">
        <f t="shared" si="21"/>
        <v>166704</v>
      </c>
      <c r="N47" s="65">
        <f t="shared" ref="N47:S47" si="22">SUM(N31:N46)</f>
        <v>-620564</v>
      </c>
      <c r="O47" s="65">
        <f t="shared" si="22"/>
        <v>-246083</v>
      </c>
      <c r="P47" s="65">
        <f t="shared" si="22"/>
        <v>-154116</v>
      </c>
      <c r="Q47" s="65">
        <f t="shared" si="22"/>
        <v>797063</v>
      </c>
      <c r="R47" s="65">
        <f t="shared" si="22"/>
        <v>-1017428</v>
      </c>
      <c r="S47" s="65">
        <f t="shared" si="22"/>
        <v>57574</v>
      </c>
      <c r="T47" s="65">
        <f t="shared" si="0"/>
        <v>-495211</v>
      </c>
      <c r="U47" s="65">
        <f t="shared" ref="U47:AB47" si="23">SUM(U31:U46)</f>
        <v>123248</v>
      </c>
      <c r="V47" s="65">
        <f t="shared" si="23"/>
        <v>560425</v>
      </c>
      <c r="W47" s="65">
        <f t="shared" si="23"/>
        <v>-130888</v>
      </c>
      <c r="X47" s="65">
        <f t="shared" si="23"/>
        <v>-1112316</v>
      </c>
      <c r="Y47" s="65">
        <f t="shared" si="23"/>
        <v>9700</v>
      </c>
      <c r="Z47" s="65">
        <f t="shared" si="23"/>
        <v>385707</v>
      </c>
      <c r="AA47" s="65">
        <f t="shared" si="23"/>
        <v>-1025364</v>
      </c>
      <c r="AB47" s="65">
        <f t="shared" si="23"/>
        <v>-482359</v>
      </c>
      <c r="AC47" s="18"/>
    </row>
    <row r="48" spans="1:29" ht="16.5">
      <c r="A48" s="59"/>
      <c r="B48" s="27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AC48" s="18"/>
    </row>
    <row r="49" spans="1:29" ht="16.5">
      <c r="A49" s="59" t="s">
        <v>61</v>
      </c>
      <c r="B49" s="27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18"/>
    </row>
    <row r="50" spans="1:29">
      <c r="A50" s="58" t="s">
        <v>73</v>
      </c>
      <c r="B50" s="27"/>
      <c r="C50" s="3">
        <f t="shared" ref="C50:D53" si="24">D50+E50+F50+G50</f>
        <v>0</v>
      </c>
      <c r="D50" s="3">
        <f t="shared" si="24"/>
        <v>0</v>
      </c>
      <c r="E50" s="3">
        <v>0</v>
      </c>
      <c r="F50" s="3">
        <v>0</v>
      </c>
      <c r="G50" s="3">
        <v>0</v>
      </c>
      <c r="H50" s="3">
        <v>0</v>
      </c>
      <c r="I50" s="3">
        <f t="shared" ref="I50:I51" si="25">J50+K50+L50+M50</f>
        <v>0</v>
      </c>
      <c r="J50" s="3">
        <f>0-K50-L50-M50</f>
        <v>0</v>
      </c>
      <c r="K50" s="3">
        <v>0</v>
      </c>
      <c r="L50" s="3">
        <v>0</v>
      </c>
      <c r="M50" s="3">
        <v>0</v>
      </c>
      <c r="N50" s="3">
        <v>1126</v>
      </c>
      <c r="O50" s="3">
        <v>1126</v>
      </c>
      <c r="P50" s="3">
        <v>0</v>
      </c>
      <c r="Q50" s="3">
        <v>0</v>
      </c>
      <c r="R50" s="3">
        <v>0</v>
      </c>
      <c r="S50" s="3">
        <v>-6731</v>
      </c>
      <c r="T50" s="3">
        <f t="shared" si="0"/>
        <v>0</v>
      </c>
      <c r="U50" s="3">
        <v>0</v>
      </c>
      <c r="V50" s="3">
        <v>-6731</v>
      </c>
      <c r="W50" s="3">
        <v>0</v>
      </c>
      <c r="X50" s="3">
        <v>-77</v>
      </c>
      <c r="Y50" s="3">
        <f>X50-SUM(Z50:AB50)</f>
        <v>-1024</v>
      </c>
      <c r="Z50" s="3">
        <v>0</v>
      </c>
      <c r="AA50" s="3">
        <v>947</v>
      </c>
      <c r="AB50" s="3">
        <v>0</v>
      </c>
      <c r="AC50" s="18"/>
    </row>
    <row r="51" spans="1:29">
      <c r="A51" s="58" t="s">
        <v>77</v>
      </c>
      <c r="B51" s="27"/>
      <c r="C51" s="3">
        <f t="shared" si="24"/>
        <v>0</v>
      </c>
      <c r="D51" s="3">
        <f t="shared" si="24"/>
        <v>0</v>
      </c>
      <c r="E51" s="3">
        <v>0</v>
      </c>
      <c r="F51" s="3">
        <v>0</v>
      </c>
      <c r="G51" s="3">
        <v>0</v>
      </c>
      <c r="H51" s="3">
        <v>0</v>
      </c>
      <c r="I51" s="3">
        <f t="shared" si="25"/>
        <v>-239526</v>
      </c>
      <c r="J51" s="3">
        <f>-239526-K51-L51-M51</f>
        <v>0</v>
      </c>
      <c r="K51" s="3">
        <v>-239526</v>
      </c>
      <c r="L51" s="3">
        <v>0</v>
      </c>
      <c r="M51" s="3">
        <v>0</v>
      </c>
      <c r="N51" s="3">
        <v>-688910</v>
      </c>
      <c r="O51" s="3">
        <f>-688910+688910</f>
        <v>0</v>
      </c>
      <c r="P51" s="3">
        <v>-688910</v>
      </c>
      <c r="Q51" s="3">
        <v>0</v>
      </c>
      <c r="R51" s="3">
        <v>0</v>
      </c>
      <c r="S51" s="3">
        <v>-595053</v>
      </c>
      <c r="T51" s="3">
        <f t="shared" si="0"/>
        <v>0</v>
      </c>
      <c r="U51" s="3">
        <v>-595053</v>
      </c>
      <c r="V51" s="3">
        <v>0</v>
      </c>
      <c r="W51" s="3">
        <v>0</v>
      </c>
      <c r="X51" s="3">
        <v>-520696</v>
      </c>
      <c r="Y51" s="3">
        <f>X51-SUM(Z51:AB51)</f>
        <v>0</v>
      </c>
      <c r="Z51" s="3">
        <v>-520696</v>
      </c>
      <c r="AA51" s="75"/>
      <c r="AB51" s="75"/>
      <c r="AC51" s="18"/>
    </row>
    <row r="52" spans="1:29">
      <c r="A52" s="58" t="s">
        <v>128</v>
      </c>
      <c r="B52" s="27"/>
      <c r="C52" s="3">
        <v>-2489</v>
      </c>
      <c r="D52" s="3">
        <f t="shared" si="24"/>
        <v>-53279</v>
      </c>
      <c r="E52" s="3">
        <v>0</v>
      </c>
      <c r="F52" s="3">
        <v>-53279</v>
      </c>
      <c r="G52" s="3">
        <v>0</v>
      </c>
      <c r="H52" s="3">
        <v>0</v>
      </c>
      <c r="I52" s="3">
        <f t="shared" ref="I52" si="26">J52+K52+L52+M52</f>
        <v>-41433</v>
      </c>
      <c r="J52" s="3">
        <f>-41433-K52-L52-M52</f>
        <v>0</v>
      </c>
      <c r="K52" s="3">
        <v>-41433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75"/>
      <c r="AB52" s="75"/>
      <c r="AC52" s="18"/>
    </row>
    <row r="53" spans="1:29">
      <c r="A53" s="58" t="s">
        <v>127</v>
      </c>
      <c r="B53" s="27"/>
      <c r="C53" s="3">
        <v>0</v>
      </c>
      <c r="D53" s="3">
        <f t="shared" si="24"/>
        <v>6644</v>
      </c>
      <c r="E53" s="3">
        <v>6644</v>
      </c>
      <c r="F53" s="3">
        <v>0</v>
      </c>
      <c r="G53" s="3">
        <v>0</v>
      </c>
      <c r="H53" s="3">
        <v>0</v>
      </c>
      <c r="I53" s="3">
        <f t="shared" ref="I53" si="27">J53+K53+L53+M53</f>
        <v>9583</v>
      </c>
      <c r="J53" s="3">
        <f>9583-K53-L53-M53</f>
        <v>9583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18"/>
    </row>
    <row r="54" spans="1:29" ht="16.5">
      <c r="A54" s="59" t="s">
        <v>62</v>
      </c>
      <c r="B54" s="27"/>
      <c r="C54" s="65">
        <f t="shared" ref="C54" si="28">SUM(C50:C53)</f>
        <v>-2489</v>
      </c>
      <c r="D54" s="65">
        <f t="shared" ref="D54:J54" si="29">SUM(D50:D53)</f>
        <v>-46635</v>
      </c>
      <c r="E54" s="65">
        <f t="shared" si="29"/>
        <v>6644</v>
      </c>
      <c r="F54" s="65">
        <f t="shared" si="29"/>
        <v>-53279</v>
      </c>
      <c r="G54" s="65">
        <f t="shared" si="29"/>
        <v>0</v>
      </c>
      <c r="H54" s="65">
        <f t="shared" si="29"/>
        <v>0</v>
      </c>
      <c r="I54" s="65">
        <f t="shared" si="29"/>
        <v>-271376</v>
      </c>
      <c r="J54" s="65">
        <f t="shared" si="29"/>
        <v>9583</v>
      </c>
      <c r="K54" s="65">
        <f>SUM(K50:K52)</f>
        <v>-280959</v>
      </c>
      <c r="L54" s="65">
        <f>SUM(L50:L51)</f>
        <v>0</v>
      </c>
      <c r="M54" s="65">
        <f>SUM(M50:M51)</f>
        <v>0</v>
      </c>
      <c r="N54" s="65">
        <f t="shared" ref="N54:S54" si="30">SUM(N50:N51)</f>
        <v>-687784</v>
      </c>
      <c r="O54" s="65">
        <f t="shared" si="30"/>
        <v>1126</v>
      </c>
      <c r="P54" s="65">
        <f t="shared" si="30"/>
        <v>-688910</v>
      </c>
      <c r="Q54" s="65">
        <f t="shared" si="30"/>
        <v>0</v>
      </c>
      <c r="R54" s="65">
        <f t="shared" si="30"/>
        <v>0</v>
      </c>
      <c r="S54" s="65">
        <f t="shared" si="30"/>
        <v>-601784</v>
      </c>
      <c r="T54" s="65">
        <f t="shared" si="0"/>
        <v>0</v>
      </c>
      <c r="U54" s="65">
        <v>-595053</v>
      </c>
      <c r="V54" s="65">
        <f t="shared" ref="V54:AB54" si="31">SUM(V50:V51)</f>
        <v>-6731</v>
      </c>
      <c r="W54" s="65">
        <f t="shared" si="31"/>
        <v>0</v>
      </c>
      <c r="X54" s="65">
        <f t="shared" si="31"/>
        <v>-520773</v>
      </c>
      <c r="Y54" s="65">
        <f t="shared" si="31"/>
        <v>-1024</v>
      </c>
      <c r="Z54" s="65">
        <f t="shared" si="31"/>
        <v>-520696</v>
      </c>
      <c r="AA54" s="65">
        <f t="shared" si="31"/>
        <v>947</v>
      </c>
      <c r="AB54" s="65">
        <f t="shared" si="31"/>
        <v>0</v>
      </c>
      <c r="AC54" s="18"/>
    </row>
    <row r="55" spans="1:29">
      <c r="A55" s="14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AC55" s="18"/>
    </row>
    <row r="56" spans="1:29" ht="16.5">
      <c r="A56" s="61" t="s">
        <v>55</v>
      </c>
      <c r="B56" s="27"/>
      <c r="C56" s="3">
        <v>-10205</v>
      </c>
      <c r="D56" s="3">
        <f t="shared" ref="D56" si="32">E56+F56+G56+H56</f>
        <v>-23798</v>
      </c>
      <c r="E56" s="3">
        <f>-23798-F56-G56-H56</f>
        <v>-11686</v>
      </c>
      <c r="F56" s="3">
        <f>-12112+5893+599</f>
        <v>-5620</v>
      </c>
      <c r="G56" s="3">
        <f>-6492+599</f>
        <v>-5893</v>
      </c>
      <c r="H56" s="3">
        <v>-599</v>
      </c>
      <c r="I56" s="3">
        <f t="shared" ref="I56" si="33">J56+K56+L56+M56</f>
        <v>-9571</v>
      </c>
      <c r="J56" s="3">
        <f>-9571-K56-L56-M56</f>
        <v>-6771</v>
      </c>
      <c r="K56" s="3">
        <v>7521</v>
      </c>
      <c r="L56" s="3">
        <f>-10321-(-10051)</f>
        <v>-270</v>
      </c>
      <c r="M56" s="3">
        <v>-10051</v>
      </c>
      <c r="N56" s="3">
        <v>11460</v>
      </c>
      <c r="O56" s="3">
        <v>6928</v>
      </c>
      <c r="P56" s="3">
        <f>4532-(-4027)</f>
        <v>8559</v>
      </c>
      <c r="Q56" s="3">
        <f>-4027-(-173)</f>
        <v>-3854</v>
      </c>
      <c r="R56" s="3">
        <v>-173</v>
      </c>
      <c r="S56" s="3">
        <v>17075</v>
      </c>
      <c r="T56" s="3">
        <f t="shared" si="0"/>
        <v>11973</v>
      </c>
      <c r="U56" s="3">
        <v>-258</v>
      </c>
      <c r="V56" s="3">
        <v>-747</v>
      </c>
      <c r="W56" s="3">
        <v>6107</v>
      </c>
      <c r="X56" s="3">
        <v>-29630</v>
      </c>
      <c r="Y56" s="3">
        <f>X56-SUM(Z56:AB56)</f>
        <v>-24361</v>
      </c>
      <c r="Z56" s="3">
        <v>-154</v>
      </c>
      <c r="AA56" s="3">
        <v>-1408</v>
      </c>
      <c r="AB56" s="3">
        <v>-3707</v>
      </c>
      <c r="AC56" s="18"/>
    </row>
    <row r="57" spans="1:29">
      <c r="A57" s="62"/>
      <c r="B57" s="2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8"/>
    </row>
    <row r="58" spans="1:29" ht="16.5">
      <c r="A58" s="61" t="s">
        <v>56</v>
      </c>
      <c r="B58" s="16"/>
      <c r="C58" s="3">
        <f>C28+C47+C54+C56</f>
        <v>-368118</v>
      </c>
      <c r="D58" s="3">
        <f t="shared" ref="D58" si="34">D28+D47+D54+D56</f>
        <v>381114</v>
      </c>
      <c r="E58" s="3">
        <f t="shared" ref="E58:F58" si="35">E28+E47+E54+E56</f>
        <v>401217</v>
      </c>
      <c r="F58" s="3">
        <f t="shared" si="35"/>
        <v>-43872</v>
      </c>
      <c r="G58" s="3">
        <f t="shared" ref="G58:L58" si="36">G28+G47+G54+G56</f>
        <v>36121</v>
      </c>
      <c r="H58" s="3">
        <f t="shared" si="36"/>
        <v>-12352</v>
      </c>
      <c r="I58" s="3">
        <f t="shared" si="36"/>
        <v>255288</v>
      </c>
      <c r="J58" s="3">
        <f t="shared" si="36"/>
        <v>-101299</v>
      </c>
      <c r="K58" s="3">
        <f t="shared" si="36"/>
        <v>182040</v>
      </c>
      <c r="L58" s="3">
        <f t="shared" si="36"/>
        <v>-143374</v>
      </c>
      <c r="M58" s="3">
        <f t="shared" ref="M58:R58" si="37">M28+M47+M54+M56</f>
        <v>317921</v>
      </c>
      <c r="N58" s="3">
        <f t="shared" si="37"/>
        <v>-1158489</v>
      </c>
      <c r="O58" s="3">
        <f t="shared" si="37"/>
        <v>-106490</v>
      </c>
      <c r="P58" s="3">
        <f t="shared" si="37"/>
        <v>-876231</v>
      </c>
      <c r="Q58" s="3">
        <f t="shared" si="37"/>
        <v>641002</v>
      </c>
      <c r="R58" s="3">
        <f t="shared" si="37"/>
        <v>-816770</v>
      </c>
      <c r="S58" s="3">
        <f t="shared" ref="S58:X58" si="38">S28+S47+S54+S56</f>
        <v>-386073</v>
      </c>
      <c r="T58" s="3">
        <f t="shared" si="38"/>
        <v>-165813</v>
      </c>
      <c r="U58" s="3">
        <f t="shared" si="38"/>
        <v>-638283</v>
      </c>
      <c r="V58" s="3">
        <f t="shared" si="38"/>
        <v>508193</v>
      </c>
      <c r="W58" s="3">
        <f t="shared" si="38"/>
        <v>-90170</v>
      </c>
      <c r="X58" s="3">
        <f t="shared" si="38"/>
        <v>-558219</v>
      </c>
      <c r="Y58" s="3">
        <f>X58-SUM(Z58:AB58)</f>
        <v>209261</v>
      </c>
      <c r="Z58" s="3">
        <f>Z28+Z47+Z54+Z56</f>
        <v>-252743</v>
      </c>
      <c r="AA58" s="3">
        <f>AA28+AA47+AA54+AA56</f>
        <v>-658506</v>
      </c>
      <c r="AB58" s="3">
        <f>AB28+AB47+AB54+AB56</f>
        <v>143769</v>
      </c>
      <c r="AC58" s="17"/>
    </row>
    <row r="59" spans="1:29">
      <c r="A59" s="63"/>
      <c r="B59" s="1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9" ht="16.5">
      <c r="A60" s="61" t="s">
        <v>57</v>
      </c>
      <c r="B60" s="16"/>
      <c r="C60" s="3">
        <f>E62</f>
        <v>1055280</v>
      </c>
      <c r="D60" s="3">
        <f>I62</f>
        <v>674166</v>
      </c>
      <c r="E60" s="3">
        <f>F62</f>
        <v>654063</v>
      </c>
      <c r="F60" s="3">
        <f>G62</f>
        <v>697935</v>
      </c>
      <c r="G60" s="3">
        <f>H62</f>
        <v>661814</v>
      </c>
      <c r="H60" s="3">
        <f>I62</f>
        <v>674166</v>
      </c>
      <c r="I60" s="3">
        <f>N62</f>
        <v>418878</v>
      </c>
      <c r="J60" s="3">
        <f>K62</f>
        <v>775465</v>
      </c>
      <c r="K60" s="3">
        <f>L62</f>
        <v>593425</v>
      </c>
      <c r="L60" s="3">
        <f>M62</f>
        <v>736799</v>
      </c>
      <c r="M60" s="3">
        <f>N62</f>
        <v>418878</v>
      </c>
      <c r="N60" s="3">
        <f>S62</f>
        <v>1577367</v>
      </c>
      <c r="O60" s="3">
        <f>P62</f>
        <v>525368</v>
      </c>
      <c r="P60" s="3">
        <f>Q62</f>
        <v>1401599</v>
      </c>
      <c r="Q60" s="3">
        <f>R62</f>
        <v>760597</v>
      </c>
      <c r="R60" s="3">
        <f>S62</f>
        <v>1577367</v>
      </c>
      <c r="S60" s="3">
        <f>W60</f>
        <v>1963440</v>
      </c>
      <c r="T60" s="3">
        <f>U62</f>
        <v>1743180</v>
      </c>
      <c r="U60" s="3">
        <f>V62</f>
        <v>2381463</v>
      </c>
      <c r="V60" s="3">
        <v>1873270</v>
      </c>
      <c r="W60" s="3">
        <v>1963440</v>
      </c>
      <c r="X60" s="3">
        <f>AB60</f>
        <v>2521659</v>
      </c>
      <c r="Y60" s="3">
        <f>Z62</f>
        <v>1754179</v>
      </c>
      <c r="Z60" s="3">
        <v>2006922</v>
      </c>
      <c r="AA60" s="3">
        <v>2665428</v>
      </c>
      <c r="AB60" s="3">
        <v>2521659</v>
      </c>
    </row>
    <row r="61" spans="1:29">
      <c r="A61" s="64"/>
      <c r="B61" s="1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3"/>
      <c r="U61" s="66"/>
      <c r="V61" s="66"/>
      <c r="W61" s="66"/>
      <c r="X61" s="66"/>
      <c r="Y61" s="66"/>
      <c r="Z61" s="3"/>
      <c r="AA61" s="3"/>
      <c r="AB61" s="3"/>
    </row>
    <row r="62" spans="1:29" ht="17.25" thickBot="1">
      <c r="A62" s="61" t="s">
        <v>58</v>
      </c>
      <c r="B62" s="16"/>
      <c r="C62" s="67">
        <f t="shared" ref="C62:D62" si="39">C58+C60</f>
        <v>687162</v>
      </c>
      <c r="D62" s="67">
        <f t="shared" si="39"/>
        <v>1055280</v>
      </c>
      <c r="E62" s="67">
        <f t="shared" ref="E62" si="40">E58+E60</f>
        <v>1055280</v>
      </c>
      <c r="F62" s="67">
        <f t="shared" ref="F62:G62" si="41">F58+F60</f>
        <v>654063</v>
      </c>
      <c r="G62" s="67">
        <f t="shared" si="41"/>
        <v>697935</v>
      </c>
      <c r="H62" s="67">
        <f t="shared" ref="H62:I62" si="42">H58+H60</f>
        <v>661814</v>
      </c>
      <c r="I62" s="67">
        <f t="shared" si="42"/>
        <v>674166</v>
      </c>
      <c r="J62" s="67">
        <f t="shared" ref="J62:K62" si="43">J58+J60</f>
        <v>674166</v>
      </c>
      <c r="K62" s="67">
        <f t="shared" si="43"/>
        <v>775465</v>
      </c>
      <c r="L62" s="67">
        <f t="shared" ref="L62:Q62" si="44">L58+L60</f>
        <v>593425</v>
      </c>
      <c r="M62" s="67">
        <f t="shared" si="44"/>
        <v>736799</v>
      </c>
      <c r="N62" s="67">
        <f t="shared" si="44"/>
        <v>418878</v>
      </c>
      <c r="O62" s="67">
        <f t="shared" si="44"/>
        <v>418878</v>
      </c>
      <c r="P62" s="67">
        <f t="shared" si="44"/>
        <v>525368</v>
      </c>
      <c r="Q62" s="67">
        <f t="shared" si="44"/>
        <v>1401599</v>
      </c>
      <c r="R62" s="67">
        <f t="shared" ref="R62:W62" si="45">R58+R60</f>
        <v>760597</v>
      </c>
      <c r="S62" s="67">
        <f t="shared" si="45"/>
        <v>1577367</v>
      </c>
      <c r="T62" s="67">
        <f t="shared" si="45"/>
        <v>1577367</v>
      </c>
      <c r="U62" s="67">
        <f t="shared" si="45"/>
        <v>1743180</v>
      </c>
      <c r="V62" s="67">
        <f t="shared" si="45"/>
        <v>2381463</v>
      </c>
      <c r="W62" s="67">
        <f t="shared" si="45"/>
        <v>1873270</v>
      </c>
      <c r="X62" s="67">
        <f>-X58+X60</f>
        <v>3079878</v>
      </c>
      <c r="Y62" s="67">
        <f>Y58+Y60</f>
        <v>1963440</v>
      </c>
      <c r="Z62" s="67">
        <v>1754179</v>
      </c>
      <c r="AA62" s="67">
        <f>AA60+AA58</f>
        <v>2006922</v>
      </c>
      <c r="AB62" s="67">
        <f>AB58+AB60</f>
        <v>2665428</v>
      </c>
    </row>
    <row r="63" spans="1:29" ht="16.5" thickTop="1">
      <c r="A63" s="60"/>
      <c r="B63" s="1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9">
      <c r="B64" s="16"/>
    </row>
    <row r="65" spans="2:2">
      <c r="B65" s="16"/>
    </row>
  </sheetData>
  <sheetProtection sheet="1" objects="1" scenarios="1"/>
  <customSheetViews>
    <customSheetView guid="{6CC4FA47-4F74-48A0-8033-8683B05A3BC4}" topLeftCell="A7">
      <selection activeCell="A17" sqref="A17"/>
      <pageMargins left="0.7" right="0.7" top="0.75" bottom="0.75" header="0.3" footer="0.3"/>
      <pageSetup paperSize="9" orientation="portrait" r:id="rId1"/>
    </customSheetView>
    <customSheetView guid="{293A8923-ED08-4701-85A2-A97D5F3D44EF}" hiddenColumns="1">
      <selection activeCell="C10" sqref="C10"/>
      <pageMargins left="0.7" right="0.7" top="0.75" bottom="0.75" header="0.3" footer="0.3"/>
      <pageSetup paperSize="9" orientation="portrait" r:id="rId2"/>
    </customSheetView>
  </customSheetViews>
  <phoneticPr fontId="1" type="noConversion"/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年度簡明合併損益表</vt:lpstr>
      <vt:lpstr>季度簡明合併損益表</vt:lpstr>
      <vt:lpstr>簡明年度合併資產負債表 </vt:lpstr>
      <vt:lpstr>簡明合併資產負債表</vt:lpstr>
      <vt:lpstr>簡明現金流量變動表</vt:lpstr>
      <vt:lpstr>季度簡明合併損益表!Print_Area</vt:lpstr>
      <vt:lpstr>簡明合併資產負債表!Print_Area</vt:lpstr>
      <vt:lpstr>'簡明年度合併資產負債表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唐婕</dc:creator>
  <cp:lastModifiedBy>楊珺涵</cp:lastModifiedBy>
  <cp:lastPrinted>2014-10-28T07:41:45Z</cp:lastPrinted>
  <dcterms:created xsi:type="dcterms:W3CDTF">2011-08-30T06:17:53Z</dcterms:created>
  <dcterms:modified xsi:type="dcterms:W3CDTF">2017-05-04T09:28:35Z</dcterms:modified>
</cp:coreProperties>
</file>