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465" windowWidth="11475" windowHeight="7500"/>
  </bookViews>
  <sheets>
    <sheet name="年度簡明合併損益表" sheetId="9" r:id="rId1"/>
    <sheet name="季度簡明合併損益表" sheetId="2" r:id="rId2"/>
    <sheet name="簡明年度合併資產負債表 " sheetId="6" r:id="rId3"/>
    <sheet name="簡明合併資產負債表" sheetId="3" r:id="rId4"/>
    <sheet name="簡明現金流量變動表" sheetId="4" r:id="rId5"/>
  </sheets>
  <externalReferences>
    <externalReference r:id="rId6"/>
  </externalReferences>
  <definedNames>
    <definedName name="_xlnm.Print_Area" localSheetId="1">季度簡明合併損益表!$A$1:$BE$20</definedName>
    <definedName name="_xlnm.Print_Area" localSheetId="3">簡明合併資產負債表!$A$1:$AR$53</definedName>
    <definedName name="_xlnm.Print_Area" localSheetId="2">'簡明年度合併資產負債表 '!$A$1:$I$47</definedName>
    <definedName name="Z_293A8923_ED08_4701_85A2_A97D5F3D44EF_.wvu.Cols" localSheetId="1" hidden="1">季度簡明合併損益表!$AB:$AE,季度簡明合併損益表!$AH:$BE</definedName>
    <definedName name="Z_293A8923_ED08_4701_85A2_A97D5F3D44EF_.wvu.Cols" localSheetId="3" hidden="1">簡明合併資產負債表!$AB:$AE,簡明合併資產負債表!$AG:$BJ</definedName>
    <definedName name="Z_293A8923_ED08_4701_85A2_A97D5F3D44EF_.wvu.Cols" localSheetId="2" hidden="1">'簡明年度合併資產負債表 '!#REF!,'簡明年度合併資產負債表 '!#REF!</definedName>
    <definedName name="Z_293A8923_ED08_4701_85A2_A97D5F3D44EF_.wvu.Cols" localSheetId="4" hidden="1">簡明現金流量變動表!$U:$V,簡明現金流量變動表!$Y:$AM</definedName>
    <definedName name="Z_293A8923_ED08_4701_85A2_A97D5F3D44EF_.wvu.PrintArea" localSheetId="1" hidden="1">季度簡明合併損益表!$A$1:$BE$20</definedName>
    <definedName name="Z_293A8923_ED08_4701_85A2_A97D5F3D44EF_.wvu.PrintArea" localSheetId="3" hidden="1">簡明合併資產負債表!$A$1:$AR$53</definedName>
    <definedName name="Z_293A8923_ED08_4701_85A2_A97D5F3D44EF_.wvu.PrintArea" localSheetId="2" hidden="1">'簡明年度合併資產負債表 '!$A$1:$I$47</definedName>
    <definedName name="Z_293A8923_ED08_4701_85A2_A97D5F3D44EF_.wvu.Rows" localSheetId="1" hidden="1">季度簡明合併損益表!$21:$22</definedName>
    <definedName name="Z_293A8923_ED08_4701_85A2_A97D5F3D44EF_.wvu.Rows" localSheetId="3" hidden="1">簡明合併資產負債表!$33:$54</definedName>
    <definedName name="Z_293A8923_ED08_4701_85A2_A97D5F3D44EF_.wvu.Rows" localSheetId="2" hidden="1">'簡明年度合併資產負債表 '!$27:$48</definedName>
    <definedName name="Z_6CC4FA47_4F74_48A0_8033_8683B05A3BC4_.wvu.PrintArea" localSheetId="1" hidden="1">季度簡明合併損益表!$A$1:$BE$20</definedName>
  </definedNames>
  <calcPr calcId="145621"/>
  <customWorkbookViews>
    <customWorkbookView name="Cynthia Lee - 個人檢視畫面" guid="{6CC4FA47-4F74-48A0-8033-8683B05A3BC4}" mergeInterval="0" personalView="1" maximized="1" xWindow="50" yWindow="53" windowWidth="966" windowHeight="472" activeSheetId="2" showComments="commIndAndComment"/>
    <customWorkbookView name="黃惠嫆 - 個人檢視畫面" guid="{293A8923-ED08-4701-85A2-A97D5F3D44EF}" mergeInterval="0" personalView="1" maximized="1" windowWidth="1916" windowHeight="742" activeSheetId="4"/>
  </customWorkbookViews>
</workbook>
</file>

<file path=xl/calcChain.xml><?xml version="1.0" encoding="utf-8"?>
<calcChain xmlns="http://schemas.openxmlformats.org/spreadsheetml/2006/main">
  <c r="AZ47" i="3" l="1"/>
  <c r="AR47" i="3"/>
  <c r="BD46" i="3"/>
  <c r="AP46" i="3"/>
  <c r="BD45" i="3"/>
  <c r="AP45" i="3"/>
  <c r="AN47" i="3" s="1"/>
  <c r="AL45" i="3"/>
  <c r="AJ45" i="3"/>
  <c r="AH45" i="3"/>
  <c r="AF45" i="3"/>
  <c r="AD45" i="3"/>
  <c r="AB45" i="3"/>
  <c r="Z45" i="3"/>
  <c r="X45" i="3"/>
  <c r="R45" i="3"/>
  <c r="N45" i="3"/>
  <c r="J45" i="3"/>
  <c r="H45" i="3"/>
  <c r="F45" i="3"/>
  <c r="D45" i="3"/>
  <c r="B45" i="3"/>
  <c r="BD44" i="3"/>
  <c r="AL44" i="3"/>
  <c r="AJ44" i="3"/>
  <c r="AH44" i="3"/>
  <c r="AF44" i="3"/>
  <c r="AD44" i="3"/>
  <c r="AB44" i="3"/>
  <c r="Z44" i="3"/>
  <c r="X44" i="3"/>
  <c r="V44" i="3"/>
  <c r="T44" i="3"/>
  <c r="R44" i="3"/>
  <c r="P44" i="3"/>
  <c r="N44" i="3"/>
  <c r="L44" i="3"/>
  <c r="J44" i="3"/>
  <c r="H44" i="3"/>
  <c r="F44" i="3"/>
  <c r="D44" i="3"/>
  <c r="BD41" i="3"/>
  <c r="AZ41" i="3"/>
  <c r="AX41" i="3"/>
  <c r="AR41" i="3"/>
  <c r="BB39" i="3"/>
  <c r="AZ38" i="3"/>
  <c r="AX38" i="3"/>
  <c r="AV38" i="3"/>
  <c r="AT38" i="3"/>
  <c r="AR38" i="3"/>
  <c r="AN38" i="3"/>
  <c r="BD37" i="3"/>
  <c r="BD38" i="3" s="1"/>
  <c r="AP37" i="3"/>
  <c r="AP38" i="3" s="1"/>
  <c r="BB36" i="3"/>
  <c r="AZ36" i="3"/>
  <c r="AZ39" i="3" s="1"/>
  <c r="AY36" i="3"/>
  <c r="AX36" i="3"/>
  <c r="AX39" i="3" s="1"/>
  <c r="AX24" i="3" s="1"/>
  <c r="AV36" i="3"/>
  <c r="AT36" i="3"/>
  <c r="AT39" i="3" s="1"/>
  <c r="AT24" i="3" s="1"/>
  <c r="AR36" i="3"/>
  <c r="AQ36" i="3"/>
  <c r="AP36" i="3"/>
  <c r="AN36" i="3"/>
  <c r="AN39" i="3" s="1"/>
  <c r="AN24" i="3" s="1"/>
  <c r="AJ36" i="3"/>
  <c r="F36" i="3"/>
  <c r="D36" i="3"/>
  <c r="B36" i="3"/>
  <c r="AL35" i="3"/>
  <c r="AJ35" i="3"/>
  <c r="AB35" i="3"/>
  <c r="AP34" i="3"/>
  <c r="AP39" i="3" s="1"/>
  <c r="AP24" i="3" s="1"/>
  <c r="B34" i="3"/>
  <c r="B44" i="3" s="1"/>
  <c r="BD32" i="3"/>
  <c r="BB32" i="3"/>
  <c r="AZ32" i="3"/>
  <c r="AX32" i="3"/>
  <c r="AT32" i="3"/>
  <c r="AR32" i="3"/>
  <c r="AN32" i="3"/>
  <c r="AJ32" i="3"/>
  <c r="AF32" i="3"/>
  <c r="AB32" i="3"/>
  <c r="X32" i="3"/>
  <c r="T32" i="3"/>
  <c r="P32" i="3"/>
  <c r="L32" i="3"/>
  <c r="H32" i="3"/>
  <c r="D32" i="3"/>
  <c r="AZ31" i="3"/>
  <c r="AX31" i="3"/>
  <c r="AT31" i="3"/>
  <c r="AR31" i="3"/>
  <c r="AP31" i="3"/>
  <c r="AN31" i="3"/>
  <c r="AF31" i="3"/>
  <c r="X31" i="3"/>
  <c r="P31" i="3"/>
  <c r="BD30" i="3"/>
  <c r="AV30" i="3"/>
  <c r="AV31" i="3" s="1"/>
  <c r="AN30" i="3"/>
  <c r="AL30" i="3"/>
  <c r="AL37" i="3" s="1"/>
  <c r="AJ30" i="3"/>
  <c r="AJ37" i="3" s="1"/>
  <c r="AH30" i="3"/>
  <c r="AH46" i="3" s="1"/>
  <c r="AH47" i="3" s="1"/>
  <c r="AF30" i="3"/>
  <c r="AF46" i="3" s="1"/>
  <c r="AF47" i="3" s="1"/>
  <c r="AD30" i="3"/>
  <c r="AD37" i="3" s="1"/>
  <c r="AB30" i="3"/>
  <c r="AB37" i="3" s="1"/>
  <c r="Z30" i="3"/>
  <c r="Z46" i="3" s="1"/>
  <c r="Z47" i="3" s="1"/>
  <c r="X30" i="3"/>
  <c r="X46" i="3" s="1"/>
  <c r="X47" i="3" s="1"/>
  <c r="V30" i="3"/>
  <c r="V37" i="3" s="1"/>
  <c r="T30" i="3"/>
  <c r="T37" i="3" s="1"/>
  <c r="R30" i="3"/>
  <c r="R46" i="3" s="1"/>
  <c r="P30" i="3"/>
  <c r="P46" i="3" s="1"/>
  <c r="N30" i="3"/>
  <c r="N37" i="3" s="1"/>
  <c r="L30" i="3"/>
  <c r="L37" i="3" s="1"/>
  <c r="J30" i="3"/>
  <c r="J46" i="3" s="1"/>
  <c r="H30" i="3"/>
  <c r="H46" i="3" s="1"/>
  <c r="H47" i="3" s="1"/>
  <c r="F30" i="3"/>
  <c r="F37" i="3" s="1"/>
  <c r="D30" i="3"/>
  <c r="D37" i="3" s="1"/>
  <c r="B30" i="3"/>
  <c r="B46" i="3" s="1"/>
  <c r="B47" i="3" s="1"/>
  <c r="BD28" i="3"/>
  <c r="BD31" i="3" s="1"/>
  <c r="AL28" i="3"/>
  <c r="AJ28" i="3"/>
  <c r="H28" i="3"/>
  <c r="H31" i="3" s="1"/>
  <c r="AP27" i="3"/>
  <c r="AP32" i="3" s="1"/>
  <c r="AP23" i="3" s="1"/>
  <c r="B27" i="3"/>
  <c r="AV25" i="3"/>
  <c r="BB24" i="3"/>
  <c r="AZ24" i="3"/>
  <c r="BD23" i="3"/>
  <c r="BB23" i="3"/>
  <c r="AZ23" i="3"/>
  <c r="AX23" i="3"/>
  <c r="AT23" i="3"/>
  <c r="AR23" i="3"/>
  <c r="AN23" i="3"/>
  <c r="AJ23" i="3"/>
  <c r="AF23" i="3"/>
  <c r="AB23" i="3"/>
  <c r="X23" i="3"/>
  <c r="T23" i="3"/>
  <c r="P23" i="3"/>
  <c r="L23" i="3"/>
  <c r="H23" i="3"/>
  <c r="D23" i="3"/>
  <c r="BD18" i="3"/>
  <c r="AX18" i="3"/>
  <c r="AV18" i="3"/>
  <c r="AN18" i="3"/>
  <c r="AJ18" i="3"/>
  <c r="AF18" i="3"/>
  <c r="AB18" i="3"/>
  <c r="X18" i="3"/>
  <c r="P18" i="3"/>
  <c r="H18" i="3"/>
  <c r="D18" i="3"/>
  <c r="BB16" i="3"/>
  <c r="BB18" i="3" s="1"/>
  <c r="AZ16" i="3"/>
  <c r="AZ18" i="3" s="1"/>
  <c r="AT16" i="3"/>
  <c r="AT18" i="3" s="1"/>
  <c r="AR16" i="3"/>
  <c r="AR18" i="3" s="1"/>
  <c r="AP16" i="3"/>
  <c r="AP18" i="3" s="1"/>
  <c r="AN16" i="3"/>
  <c r="AL16" i="3"/>
  <c r="AL18" i="3" s="1"/>
  <c r="AJ16" i="3"/>
  <c r="AH16" i="3"/>
  <c r="AH18" i="3" s="1"/>
  <c r="AF16" i="3"/>
  <c r="AD16" i="3"/>
  <c r="AD18" i="3" s="1"/>
  <c r="AB16" i="3"/>
  <c r="Z16" i="3"/>
  <c r="Z18" i="3" s="1"/>
  <c r="X16" i="3"/>
  <c r="V16" i="3"/>
  <c r="T16" i="3"/>
  <c r="R16" i="3"/>
  <c r="R18" i="3" s="1"/>
  <c r="P16" i="3"/>
  <c r="N16" i="3"/>
  <c r="N18" i="3" s="1"/>
  <c r="L16" i="3"/>
  <c r="J16" i="3"/>
  <c r="J18" i="3" s="1"/>
  <c r="H16" i="3"/>
  <c r="F16" i="3"/>
  <c r="F18" i="3" s="1"/>
  <c r="D16" i="3"/>
  <c r="B16" i="3"/>
  <c r="B18" i="3" s="1"/>
  <c r="V15" i="3"/>
  <c r="V45" i="3" s="1"/>
  <c r="T15" i="3"/>
  <c r="T45" i="3" s="1"/>
  <c r="P15" i="3"/>
  <c r="P45" i="3" s="1"/>
  <c r="L15" i="3"/>
  <c r="L45" i="3" s="1"/>
  <c r="BD13" i="3"/>
  <c r="AX13" i="3"/>
  <c r="AV13" i="3"/>
  <c r="BB12" i="3"/>
  <c r="AZ12" i="3"/>
  <c r="AT12" i="3"/>
  <c r="AR12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D12" i="3"/>
  <c r="B12" i="3"/>
  <c r="AN11" i="3"/>
  <c r="AL11" i="3"/>
  <c r="AJ11" i="3"/>
  <c r="AH11" i="3"/>
  <c r="AF11" i="3"/>
  <c r="AD11" i="3"/>
  <c r="AB11" i="3"/>
  <c r="Z11" i="3"/>
  <c r="X11" i="3"/>
  <c r="V11" i="3"/>
  <c r="T11" i="3"/>
  <c r="BB10" i="3"/>
  <c r="AZ10" i="3"/>
  <c r="AF10" i="3"/>
  <c r="AD10" i="3"/>
  <c r="AB10" i="3"/>
  <c r="Z10" i="3"/>
  <c r="X10" i="3"/>
  <c r="V10" i="3"/>
  <c r="T10" i="3"/>
  <c r="R10" i="3"/>
  <c r="P10" i="3"/>
  <c r="N10" i="3"/>
  <c r="L10" i="3"/>
  <c r="J10" i="3"/>
  <c r="H10" i="3"/>
  <c r="F10" i="3"/>
  <c r="D10" i="3"/>
  <c r="B10" i="3"/>
  <c r="BB9" i="3"/>
  <c r="AZ9" i="3"/>
  <c r="AT9" i="3"/>
  <c r="AR9" i="3"/>
  <c r="AN9" i="3"/>
  <c r="AL9" i="3"/>
  <c r="AJ9" i="3"/>
  <c r="AH9" i="3"/>
  <c r="AF9" i="3"/>
  <c r="AD9" i="3"/>
  <c r="AB9" i="3"/>
  <c r="Z9" i="3"/>
  <c r="X9" i="3"/>
  <c r="V9" i="3"/>
  <c r="J9" i="3"/>
  <c r="H9" i="3"/>
  <c r="F9" i="3"/>
  <c r="D9" i="3"/>
  <c r="B9" i="3"/>
  <c r="AZ8" i="3"/>
  <c r="AZ13" i="3" s="1"/>
  <c r="AR8" i="3"/>
  <c r="AR13" i="3" s="1"/>
  <c r="AN8" i="3"/>
  <c r="AN41" i="3" s="1"/>
  <c r="AJ8" i="3"/>
  <c r="AJ13" i="3" s="1"/>
  <c r="AF8" i="3"/>
  <c r="AF41" i="3" s="1"/>
  <c r="AB8" i="3"/>
  <c r="AB13" i="3" s="1"/>
  <c r="X8" i="3"/>
  <c r="X41" i="3" s="1"/>
  <c r="T8" i="3"/>
  <c r="T13" i="3" s="1"/>
  <c r="P8" i="3"/>
  <c r="P41" i="3" s="1"/>
  <c r="L8" i="3"/>
  <c r="L13" i="3" s="1"/>
  <c r="H8" i="3"/>
  <c r="H41" i="3" s="1"/>
  <c r="D8" i="3"/>
  <c r="D13" i="3" s="1"/>
  <c r="BB7" i="3"/>
  <c r="AZ7" i="3"/>
  <c r="AT7" i="3"/>
  <c r="AR7" i="3"/>
  <c r="AP7" i="3"/>
  <c r="AN7" i="3"/>
  <c r="AL7" i="3"/>
  <c r="AJ7" i="3"/>
  <c r="AH7" i="3"/>
  <c r="AF7" i="3"/>
  <c r="AD7" i="3"/>
  <c r="AB7" i="3"/>
  <c r="Z7" i="3"/>
  <c r="X7" i="3"/>
  <c r="V7" i="3"/>
  <c r="T7" i="3"/>
  <c r="R7" i="3"/>
  <c r="P7" i="3"/>
  <c r="N7" i="3"/>
  <c r="L7" i="3"/>
  <c r="J7" i="3"/>
  <c r="H7" i="3"/>
  <c r="F7" i="3"/>
  <c r="D7" i="3"/>
  <c r="B7" i="3"/>
  <c r="AP5" i="3"/>
  <c r="R5" i="3"/>
  <c r="J5" i="3"/>
  <c r="B5" i="3"/>
  <c r="BD4" i="3"/>
  <c r="BB4" i="3"/>
  <c r="BB25" i="3" s="1"/>
  <c r="AZ4" i="3"/>
  <c r="AZ25" i="3" s="1"/>
  <c r="AT4" i="3"/>
  <c r="AT25" i="3" s="1"/>
  <c r="AR4" i="3"/>
  <c r="AR25" i="3" s="1"/>
  <c r="AP4" i="3"/>
  <c r="AP8" i="3" s="1"/>
  <c r="AN4" i="3"/>
  <c r="AN25" i="3" s="1"/>
  <c r="AL4" i="3"/>
  <c r="AL25" i="3" s="1"/>
  <c r="AJ4" i="3"/>
  <c r="AJ25" i="3" s="1"/>
  <c r="AH4" i="3"/>
  <c r="AH25" i="3" s="1"/>
  <c r="AF4" i="3"/>
  <c r="AF25" i="3" s="1"/>
  <c r="AD4" i="3"/>
  <c r="AD25" i="3" s="1"/>
  <c r="AB4" i="3"/>
  <c r="AB25" i="3" s="1"/>
  <c r="Z4" i="3"/>
  <c r="Z25" i="3" s="1"/>
  <c r="X4" i="3"/>
  <c r="X25" i="3" s="1"/>
  <c r="V4" i="3"/>
  <c r="V25" i="3" s="1"/>
  <c r="T4" i="3"/>
  <c r="T25" i="3" s="1"/>
  <c r="R4" i="3"/>
  <c r="R25" i="3" s="1"/>
  <c r="P4" i="3"/>
  <c r="P25" i="3" s="1"/>
  <c r="N4" i="3"/>
  <c r="N25" i="3" s="1"/>
  <c r="L4" i="3"/>
  <c r="L25" i="3" s="1"/>
  <c r="J4" i="3"/>
  <c r="J25" i="3" s="1"/>
  <c r="H4" i="3"/>
  <c r="H25" i="3" s="1"/>
  <c r="F4" i="3"/>
  <c r="F25" i="3" s="1"/>
  <c r="D4" i="3"/>
  <c r="D25" i="3" s="1"/>
  <c r="B4" i="3"/>
  <c r="B25" i="3" s="1"/>
  <c r="AR39" i="3" l="1"/>
  <c r="AR24" i="3" s="1"/>
  <c r="BD47" i="3"/>
  <c r="AV39" i="3"/>
  <c r="AV24" i="3" s="1"/>
  <c r="P47" i="3"/>
  <c r="AP13" i="3"/>
  <c r="AP41" i="3"/>
  <c r="AP25" i="3" s="1"/>
  <c r="J47" i="3"/>
  <c r="R47" i="3"/>
  <c r="AP47" i="3"/>
  <c r="AB38" i="3"/>
  <c r="AB39" i="3"/>
  <c r="AB24" i="3" s="1"/>
  <c r="D38" i="3"/>
  <c r="D39" i="3"/>
  <c r="D24" i="3" s="1"/>
  <c r="L38" i="3"/>
  <c r="L39" i="3"/>
  <c r="L24" i="3" s="1"/>
  <c r="T38" i="3"/>
  <c r="T39" i="3"/>
  <c r="T24" i="3" s="1"/>
  <c r="AJ38" i="3"/>
  <c r="AJ39" i="3"/>
  <c r="AJ24" i="3" s="1"/>
  <c r="F39" i="3"/>
  <c r="F24" i="3" s="1"/>
  <c r="F38" i="3"/>
  <c r="N39" i="3"/>
  <c r="N24" i="3" s="1"/>
  <c r="N38" i="3"/>
  <c r="V39" i="3"/>
  <c r="V24" i="3" s="1"/>
  <c r="V38" i="3"/>
  <c r="AD39" i="3"/>
  <c r="AD24" i="3" s="1"/>
  <c r="AD38" i="3"/>
  <c r="AL39" i="3"/>
  <c r="AL24" i="3" s="1"/>
  <c r="AL38" i="3"/>
  <c r="B8" i="3"/>
  <c r="J8" i="3"/>
  <c r="R8" i="3"/>
  <c r="Z8" i="3"/>
  <c r="AH8" i="3"/>
  <c r="BB8" i="3"/>
  <c r="BB13" i="3" s="1"/>
  <c r="H13" i="3"/>
  <c r="P13" i="3"/>
  <c r="X13" i="3"/>
  <c r="AF13" i="3"/>
  <c r="AN13" i="3"/>
  <c r="V18" i="3"/>
  <c r="D31" i="3"/>
  <c r="L31" i="3"/>
  <c r="T31" i="3"/>
  <c r="AB31" i="3"/>
  <c r="AJ31" i="3"/>
  <c r="F32" i="3"/>
  <c r="F23" i="3" s="1"/>
  <c r="N32" i="3"/>
  <c r="N23" i="3" s="1"/>
  <c r="V32" i="3"/>
  <c r="V23" i="3" s="1"/>
  <c r="AD32" i="3"/>
  <c r="AD23" i="3" s="1"/>
  <c r="AL32" i="3"/>
  <c r="AL23" i="3" s="1"/>
  <c r="H37" i="3"/>
  <c r="P37" i="3"/>
  <c r="X37" i="3"/>
  <c r="AF37" i="3"/>
  <c r="AP44" i="3"/>
  <c r="D46" i="3"/>
  <c r="D47" i="3" s="1"/>
  <c r="L46" i="3"/>
  <c r="L47" i="3" s="1"/>
  <c r="T46" i="3"/>
  <c r="T47" i="3" s="1"/>
  <c r="AB46" i="3"/>
  <c r="AB47" i="3" s="1"/>
  <c r="AJ46" i="3"/>
  <c r="AJ47" i="3" s="1"/>
  <c r="F31" i="3"/>
  <c r="N31" i="3"/>
  <c r="V31" i="3"/>
  <c r="AD31" i="3"/>
  <c r="AL31" i="3"/>
  <c r="AV32" i="3"/>
  <c r="AV23" i="3" s="1"/>
  <c r="B37" i="3"/>
  <c r="J37" i="3"/>
  <c r="R37" i="3"/>
  <c r="Z37" i="3"/>
  <c r="AH37" i="3"/>
  <c r="D41" i="3"/>
  <c r="L41" i="3"/>
  <c r="T41" i="3"/>
  <c r="AB41" i="3"/>
  <c r="AJ41" i="3"/>
  <c r="F46" i="3"/>
  <c r="F47" i="3" s="1"/>
  <c r="N46" i="3"/>
  <c r="N47" i="3" s="1"/>
  <c r="V46" i="3"/>
  <c r="V47" i="3" s="1"/>
  <c r="AD46" i="3"/>
  <c r="AD47" i="3" s="1"/>
  <c r="AL46" i="3"/>
  <c r="AL47" i="3" s="1"/>
  <c r="F8" i="3"/>
  <c r="N8" i="3"/>
  <c r="V8" i="3"/>
  <c r="AD8" i="3"/>
  <c r="AL8" i="3"/>
  <c r="AT8" i="3"/>
  <c r="AT13" i="3" s="1"/>
  <c r="B32" i="3"/>
  <c r="B23" i="3" s="1"/>
  <c r="J32" i="3"/>
  <c r="J23" i="3" s="1"/>
  <c r="R32" i="3"/>
  <c r="R23" i="3" s="1"/>
  <c r="Z32" i="3"/>
  <c r="Z23" i="3" s="1"/>
  <c r="AH32" i="3"/>
  <c r="AH23" i="3" s="1"/>
  <c r="L18" i="3"/>
  <c r="T18" i="3"/>
  <c r="B31" i="3"/>
  <c r="J31" i="3"/>
  <c r="R31" i="3"/>
  <c r="Z31" i="3"/>
  <c r="AH31" i="3"/>
  <c r="J38" i="3" l="1"/>
  <c r="J39" i="3"/>
  <c r="J24" i="3" s="1"/>
  <c r="P38" i="3"/>
  <c r="P39" i="3"/>
  <c r="P24" i="3" s="1"/>
  <c r="Z13" i="3"/>
  <c r="Z41" i="3"/>
  <c r="N13" i="3"/>
  <c r="N41" i="3"/>
  <c r="AH38" i="3"/>
  <c r="AH39" i="3"/>
  <c r="AH24" i="3" s="1"/>
  <c r="B38" i="3"/>
  <c r="B39" i="3"/>
  <c r="B24" i="3" s="1"/>
  <c r="H38" i="3"/>
  <c r="H39" i="3"/>
  <c r="H24" i="3" s="1"/>
  <c r="R13" i="3"/>
  <c r="R41" i="3"/>
  <c r="AL13" i="3"/>
  <c r="AL41" i="3"/>
  <c r="F13" i="3"/>
  <c r="F41" i="3"/>
  <c r="Z38" i="3"/>
  <c r="Z39" i="3"/>
  <c r="Z24" i="3" s="1"/>
  <c r="AF38" i="3"/>
  <c r="AF39" i="3"/>
  <c r="AF24" i="3" s="1"/>
  <c r="J13" i="3"/>
  <c r="J41" i="3"/>
  <c r="AD13" i="3"/>
  <c r="AD41" i="3"/>
  <c r="R38" i="3"/>
  <c r="R39" i="3"/>
  <c r="R24" i="3" s="1"/>
  <c r="X38" i="3"/>
  <c r="X39" i="3"/>
  <c r="X24" i="3" s="1"/>
  <c r="AH13" i="3"/>
  <c r="AH41" i="3"/>
  <c r="B13" i="3"/>
  <c r="B41" i="3"/>
  <c r="V13" i="3"/>
  <c r="V41" i="3"/>
  <c r="BG16" i="2"/>
  <c r="BG15" i="2"/>
  <c r="BG14" i="2"/>
  <c r="BG13" i="2"/>
  <c r="BG12" i="2"/>
  <c r="C62" i="4" l="1"/>
  <c r="C58" i="4"/>
  <c r="D58" i="4"/>
  <c r="D55" i="4"/>
  <c r="C52" i="4"/>
  <c r="D52" i="4"/>
  <c r="D45" i="4"/>
  <c r="D44" i="4"/>
  <c r="D43" i="4"/>
  <c r="C43" i="4"/>
  <c r="C44" i="4"/>
  <c r="C45" i="4"/>
  <c r="C46" i="4"/>
  <c r="C47" i="4"/>
  <c r="C48" i="4"/>
  <c r="C42" i="4"/>
  <c r="D42" i="4"/>
  <c r="C36" i="4"/>
  <c r="D36" i="4"/>
  <c r="C28" i="4"/>
  <c r="C27" i="4"/>
  <c r="C26" i="4"/>
  <c r="C25" i="4"/>
  <c r="D28" i="4"/>
  <c r="D27" i="4"/>
  <c r="D26" i="4"/>
  <c r="D25" i="4"/>
  <c r="C22" i="4"/>
  <c r="C23" i="4"/>
  <c r="C17" i="4"/>
  <c r="C18" i="4"/>
  <c r="C19" i="4"/>
  <c r="C20" i="4"/>
  <c r="C21" i="4"/>
  <c r="D21" i="4"/>
  <c r="D24" i="4"/>
  <c r="C16" i="4"/>
  <c r="D16" i="4"/>
  <c r="C15" i="4"/>
  <c r="D15" i="4"/>
  <c r="C14" i="4"/>
  <c r="D14" i="4"/>
  <c r="C13" i="4"/>
  <c r="D13" i="4"/>
  <c r="C12" i="4"/>
  <c r="D12" i="4"/>
  <c r="C11" i="4"/>
  <c r="D11" i="4"/>
  <c r="C10" i="4"/>
  <c r="D10" i="4"/>
  <c r="C8" i="4"/>
  <c r="D8" i="4"/>
  <c r="C7" i="4"/>
  <c r="D7" i="4"/>
  <c r="C6" i="4"/>
  <c r="D6" i="4"/>
  <c r="C4" i="4"/>
  <c r="D4" i="4"/>
  <c r="C53" i="4"/>
  <c r="D62" i="4"/>
  <c r="D53" i="4"/>
  <c r="D48" i="4"/>
  <c r="D46" i="4"/>
  <c r="B36" i="6"/>
  <c r="B16" i="6"/>
  <c r="B25" i="6" s="1"/>
  <c r="B12" i="6"/>
  <c r="B10" i="6"/>
  <c r="B9" i="6"/>
  <c r="B7" i="6"/>
  <c r="B4" i="6"/>
  <c r="B46" i="6"/>
  <c r="B45" i="6"/>
  <c r="B39" i="6"/>
  <c r="B24" i="6" s="1"/>
  <c r="B38" i="6"/>
  <c r="B34" i="6"/>
  <c r="B44" i="6" s="1"/>
  <c r="B27" i="6"/>
  <c r="B31" i="6" s="1"/>
  <c r="B18" i="6"/>
  <c r="B8" i="6"/>
  <c r="BH16" i="2"/>
  <c r="BH15" i="2"/>
  <c r="BH14" i="2"/>
  <c r="BH13" i="2"/>
  <c r="BH12" i="2"/>
  <c r="BH11" i="2"/>
  <c r="BH9" i="2"/>
  <c r="BH8" i="2"/>
  <c r="BH7" i="2"/>
  <c r="BH5" i="2"/>
  <c r="BH4" i="2"/>
  <c r="BG11" i="2"/>
  <c r="BG10" i="2"/>
  <c r="BG9" i="2"/>
  <c r="BG8" i="2"/>
  <c r="BG7" i="2"/>
  <c r="BG5" i="2"/>
  <c r="BG4" i="2"/>
  <c r="BH3" i="2"/>
  <c r="BG3" i="2"/>
  <c r="N18" i="9"/>
  <c r="N17" i="9"/>
  <c r="N16" i="9"/>
  <c r="N15" i="9"/>
  <c r="N13" i="9"/>
  <c r="N14" i="9"/>
  <c r="N11" i="9"/>
  <c r="N10" i="9"/>
  <c r="N9" i="9"/>
  <c r="N6" i="9"/>
  <c r="N7" i="9"/>
  <c r="N5" i="9"/>
  <c r="B21" i="9"/>
  <c r="B17" i="9"/>
  <c r="B16" i="9"/>
  <c r="B15" i="9"/>
  <c r="B13" i="9"/>
  <c r="B12" i="9"/>
  <c r="B11" i="9"/>
  <c r="B10" i="9"/>
  <c r="B9" i="9"/>
  <c r="B6" i="9"/>
  <c r="B5" i="9"/>
  <c r="D56" i="4" l="1"/>
  <c r="C56" i="4"/>
  <c r="C49" i="4"/>
  <c r="D49" i="4"/>
  <c r="D29" i="4"/>
  <c r="D60" i="4" s="1"/>
  <c r="D64" i="4" s="1"/>
  <c r="C24" i="4"/>
  <c r="C29" i="4" s="1"/>
  <c r="B41" i="6"/>
  <c r="B13" i="6"/>
  <c r="B47" i="6"/>
  <c r="B32" i="6"/>
  <c r="B23" i="6" s="1"/>
  <c r="B18" i="9"/>
  <c r="B11" i="2"/>
  <c r="B5" i="2"/>
  <c r="B12" i="2" s="1"/>
  <c r="C12" i="2" s="1"/>
  <c r="B14" i="2"/>
  <c r="B16" i="2" s="1"/>
  <c r="B7" i="9"/>
  <c r="B14" i="9" s="1"/>
  <c r="C14" i="9" s="1"/>
  <c r="C5" i="9"/>
  <c r="E58" i="4"/>
  <c r="E44" i="4"/>
  <c r="E45" i="4"/>
  <c r="E42" i="4"/>
  <c r="E49" i="4" s="1"/>
  <c r="E36" i="4"/>
  <c r="E28" i="4"/>
  <c r="E27" i="4"/>
  <c r="E26" i="4"/>
  <c r="E25" i="4"/>
  <c r="E21" i="4"/>
  <c r="E16" i="4"/>
  <c r="E15" i="4"/>
  <c r="E14" i="4"/>
  <c r="E13" i="4"/>
  <c r="E12" i="4"/>
  <c r="E11" i="4"/>
  <c r="E10" i="4"/>
  <c r="E8" i="4"/>
  <c r="E7" i="4"/>
  <c r="E6" i="4"/>
  <c r="E4" i="4"/>
  <c r="E62" i="4"/>
  <c r="E53" i="4"/>
  <c r="E56" i="4"/>
  <c r="E48" i="4"/>
  <c r="E46" i="4"/>
  <c r="E22" i="4"/>
  <c r="E20" i="4"/>
  <c r="E19" i="4"/>
  <c r="E18" i="4"/>
  <c r="E17" i="4"/>
  <c r="D11" i="2"/>
  <c r="D5" i="2"/>
  <c r="C60" i="4" l="1"/>
  <c r="C64" i="4"/>
  <c r="C7" i="9"/>
  <c r="C5" i="2"/>
  <c r="E24" i="4"/>
  <c r="E29" i="4" s="1"/>
  <c r="E60" i="4" s="1"/>
  <c r="E64" i="4" s="1"/>
  <c r="D12" i="2"/>
  <c r="E5" i="2"/>
  <c r="E12" i="2"/>
  <c r="F58" i="4"/>
  <c r="F45" i="4"/>
  <c r="F42" i="4"/>
  <c r="F36" i="4"/>
  <c r="F28" i="4"/>
  <c r="F27" i="4"/>
  <c r="F26" i="4"/>
  <c r="F25" i="4"/>
  <c r="F23" i="4"/>
  <c r="F21" i="4"/>
  <c r="F15" i="4"/>
  <c r="F14" i="4"/>
  <c r="F13" i="4"/>
  <c r="F12" i="4"/>
  <c r="F11" i="4"/>
  <c r="F10" i="4"/>
  <c r="F8" i="4"/>
  <c r="F7" i="4"/>
  <c r="F6" i="4"/>
  <c r="F4" i="4"/>
  <c r="F62" i="4"/>
  <c r="F53" i="4"/>
  <c r="F52" i="4"/>
  <c r="F56" i="4" s="1"/>
  <c r="F49" i="4"/>
  <c r="F48" i="4"/>
  <c r="F46" i="4"/>
  <c r="F22" i="4"/>
  <c r="F20" i="4"/>
  <c r="F19" i="4"/>
  <c r="F18" i="4"/>
  <c r="F17" i="4"/>
  <c r="D14" i="2" l="1"/>
  <c r="F24" i="4"/>
  <c r="F29" i="4" s="1"/>
  <c r="F60" i="4" s="1"/>
  <c r="F64" i="4" s="1"/>
  <c r="F19" i="2"/>
  <c r="F11" i="2"/>
  <c r="F5" i="2"/>
  <c r="F12" i="2" s="1"/>
  <c r="D16" i="2" l="1"/>
  <c r="F14" i="2"/>
  <c r="F16" i="2" s="1"/>
  <c r="G12" i="2"/>
  <c r="G5" i="2"/>
  <c r="G62" i="4"/>
  <c r="H19" i="2"/>
  <c r="H11" i="2"/>
  <c r="G53" i="4"/>
  <c r="G52" i="4"/>
  <c r="G56" i="4" s="1"/>
  <c r="H5" i="2"/>
  <c r="H12" i="2" l="1"/>
  <c r="I5" i="2"/>
  <c r="H14" i="2" l="1"/>
  <c r="H16" i="2" s="1"/>
  <c r="I12" i="2"/>
  <c r="I14" i="4" l="1"/>
  <c r="I55" i="4"/>
  <c r="J55" i="4"/>
  <c r="J14" i="4"/>
  <c r="H14" i="4"/>
  <c r="I58" i="4" l="1"/>
  <c r="H55" i="4"/>
  <c r="I54" i="4"/>
  <c r="I45" i="4"/>
  <c r="I44" i="4"/>
  <c r="I43" i="4"/>
  <c r="I42" i="4"/>
  <c r="I40" i="4"/>
  <c r="H39" i="4"/>
  <c r="I39" i="4"/>
  <c r="I35" i="4"/>
  <c r="K35" i="4"/>
  <c r="J35" i="4"/>
  <c r="H35" i="4" s="1"/>
  <c r="I28" i="4"/>
  <c r="I27" i="4"/>
  <c r="I26" i="4"/>
  <c r="I25" i="4"/>
  <c r="I21" i="4"/>
  <c r="I16" i="4"/>
  <c r="H33" i="4"/>
  <c r="H32" i="4"/>
  <c r="H23" i="4"/>
  <c r="H20" i="4"/>
  <c r="G20" i="4" s="1"/>
  <c r="H19" i="4"/>
  <c r="G19" i="4" s="1"/>
  <c r="H18" i="4"/>
  <c r="G18" i="4" s="1"/>
  <c r="I38" i="4"/>
  <c r="D16" i="6"/>
  <c r="D12" i="6"/>
  <c r="D10" i="6"/>
  <c r="D9" i="6"/>
  <c r="D7" i="6"/>
  <c r="D8" i="6" s="1"/>
  <c r="D41" i="6" s="1"/>
  <c r="D5" i="6"/>
  <c r="D4" i="6"/>
  <c r="D46" i="6"/>
  <c r="D45" i="6"/>
  <c r="D18" i="6"/>
  <c r="J19" i="2"/>
  <c r="D21" i="9" s="1"/>
  <c r="J15" i="2"/>
  <c r="J13" i="2"/>
  <c r="J9" i="2"/>
  <c r="D11" i="9" s="1"/>
  <c r="J8" i="2"/>
  <c r="J7" i="2"/>
  <c r="J4" i="2"/>
  <c r="J5" i="2" s="1"/>
  <c r="J3" i="2"/>
  <c r="D17" i="9"/>
  <c r="D15" i="9"/>
  <c r="D10" i="9"/>
  <c r="D6" i="9"/>
  <c r="D34" i="6" s="1"/>
  <c r="D39" i="6" s="1"/>
  <c r="D24" i="6" s="1"/>
  <c r="D5" i="9"/>
  <c r="D7" i="9" l="1"/>
  <c r="D27" i="6"/>
  <c r="D25" i="6"/>
  <c r="D44" i="6"/>
  <c r="D47" i="6" s="1"/>
  <c r="D38" i="6"/>
  <c r="D13" i="6"/>
  <c r="J11" i="2"/>
  <c r="J12" i="2" s="1"/>
  <c r="J14" i="2" s="1"/>
  <c r="D9" i="9"/>
  <c r="D13" i="9"/>
  <c r="K5" i="2"/>
  <c r="E7" i="9"/>
  <c r="E5" i="9"/>
  <c r="D14" i="9" l="1"/>
  <c r="D32" i="6"/>
  <c r="D23" i="6" s="1"/>
  <c r="D31" i="6"/>
  <c r="K12" i="2"/>
  <c r="J16" i="2"/>
  <c r="D16" i="9"/>
  <c r="P12" i="2"/>
  <c r="L11" i="2"/>
  <c r="L5" i="2"/>
  <c r="L12" i="2" s="1"/>
  <c r="D18" i="9" l="1"/>
  <c r="E14" i="9"/>
  <c r="L14" i="2"/>
  <c r="L16" i="2" s="1"/>
  <c r="M12" i="2"/>
  <c r="M5" i="2"/>
  <c r="J58" i="4" l="1"/>
  <c r="J54" i="4"/>
  <c r="J47" i="4"/>
  <c r="J45" i="4"/>
  <c r="J44" i="4"/>
  <c r="J43" i="4"/>
  <c r="J42" i="4"/>
  <c r="J39" i="4"/>
  <c r="J38" i="4"/>
  <c r="J28" i="4"/>
  <c r="J27" i="4"/>
  <c r="H27" i="4" s="1"/>
  <c r="J26" i="4"/>
  <c r="J25" i="4"/>
  <c r="J21" i="4"/>
  <c r="J16" i="4"/>
  <c r="J13" i="4"/>
  <c r="J12" i="4"/>
  <c r="J11" i="4"/>
  <c r="J10" i="4"/>
  <c r="J7" i="4"/>
  <c r="J6" i="4"/>
  <c r="J4" i="4"/>
  <c r="I12" i="4" l="1"/>
  <c r="H12" i="4" s="1"/>
  <c r="H21" i="4"/>
  <c r="I7" i="4"/>
  <c r="H7" i="4" s="1"/>
  <c r="H34" i="4"/>
  <c r="H43" i="4"/>
  <c r="H26" i="4"/>
  <c r="H44" i="4"/>
  <c r="H58" i="4"/>
  <c r="I4" i="4"/>
  <c r="H4" i="4" s="1"/>
  <c r="K58" i="4"/>
  <c r="K54" i="4"/>
  <c r="K47" i="4"/>
  <c r="H47" i="4" s="1"/>
  <c r="K45" i="4"/>
  <c r="H45" i="4" s="1"/>
  <c r="K44" i="4"/>
  <c r="K43" i="4"/>
  <c r="K42" i="4"/>
  <c r="H42" i="4" s="1"/>
  <c r="K39" i="4"/>
  <c r="K28" i="4"/>
  <c r="H28" i="4" s="1"/>
  <c r="K26" i="4"/>
  <c r="K25" i="4"/>
  <c r="H25" i="4" s="1"/>
  <c r="K9" i="4"/>
  <c r="H9" i="4" s="1"/>
  <c r="K21" i="4"/>
  <c r="K16" i="4"/>
  <c r="H16" i="4" s="1"/>
  <c r="K14" i="4"/>
  <c r="K13" i="4"/>
  <c r="I13" i="4" s="1"/>
  <c r="H13" i="4" s="1"/>
  <c r="K12" i="4"/>
  <c r="K11" i="4"/>
  <c r="I11" i="4" s="1"/>
  <c r="H11" i="4" s="1"/>
  <c r="K10" i="4"/>
  <c r="I10" i="4" s="1"/>
  <c r="H10" i="4" s="1"/>
  <c r="K7" i="4"/>
  <c r="K6" i="4"/>
  <c r="I6" i="4" s="1"/>
  <c r="H6" i="4" s="1"/>
  <c r="K4" i="4"/>
  <c r="N13" i="2"/>
  <c r="H54" i="4" l="1"/>
  <c r="N11" i="2" l="1"/>
  <c r="N5" i="2"/>
  <c r="N12" i="2" l="1"/>
  <c r="N14" i="2" s="1"/>
  <c r="N16" i="2" s="1"/>
  <c r="O12" i="2"/>
  <c r="O5" i="2"/>
  <c r="P13" i="2" l="1"/>
  <c r="P11" i="2"/>
  <c r="P5" i="2"/>
  <c r="Q5" i="2" l="1"/>
  <c r="Q12" i="2" l="1"/>
  <c r="P14" i="2"/>
  <c r="P16" i="2" s="1"/>
  <c r="F21" i="9" l="1"/>
  <c r="F16" i="9"/>
  <c r="F17" i="9"/>
  <c r="F15" i="9"/>
  <c r="F10" i="9"/>
  <c r="F11" i="9"/>
  <c r="F9" i="9"/>
  <c r="F6" i="9"/>
  <c r="F5" i="9"/>
  <c r="L21" i="9"/>
  <c r="J21" i="9"/>
  <c r="H21" i="9"/>
  <c r="L18" i="9"/>
  <c r="J18" i="9"/>
  <c r="H18" i="9"/>
  <c r="L17" i="9"/>
  <c r="J17" i="9"/>
  <c r="H17" i="9"/>
  <c r="L16" i="9"/>
  <c r="J16" i="9"/>
  <c r="H16" i="9"/>
  <c r="L15" i="9"/>
  <c r="J15" i="9"/>
  <c r="H15" i="9"/>
  <c r="L14" i="9"/>
  <c r="J14" i="9"/>
  <c r="H14" i="9"/>
  <c r="L13" i="9"/>
  <c r="J13" i="9"/>
  <c r="H13" i="9"/>
  <c r="L11" i="9"/>
  <c r="J11" i="9"/>
  <c r="H11" i="9"/>
  <c r="L10" i="9"/>
  <c r="J10" i="9"/>
  <c r="H10" i="9"/>
  <c r="L9" i="9"/>
  <c r="J9" i="9"/>
  <c r="H9" i="9"/>
  <c r="L8" i="9"/>
  <c r="L7" i="9"/>
  <c r="J7" i="9"/>
  <c r="H7" i="9"/>
  <c r="L6" i="9"/>
  <c r="J6" i="9"/>
  <c r="H6" i="9"/>
  <c r="H34" i="6" s="1"/>
  <c r="L5" i="9"/>
  <c r="M5" i="9" s="1"/>
  <c r="J5" i="9"/>
  <c r="K5" i="9" s="1"/>
  <c r="H5" i="9"/>
  <c r="I5" i="9" s="1"/>
  <c r="F34" i="6" l="1"/>
  <c r="F13" i="9"/>
  <c r="I14" i="9"/>
  <c r="M7" i="9"/>
  <c r="M14" i="9"/>
  <c r="H27" i="6"/>
  <c r="F7" i="9"/>
  <c r="F18" i="9"/>
  <c r="F27" i="6"/>
  <c r="G5" i="9"/>
  <c r="K7" i="9"/>
  <c r="I7" i="9"/>
  <c r="K14" i="9"/>
  <c r="F14" i="9" l="1"/>
  <c r="G7" i="9"/>
  <c r="G14" i="9"/>
  <c r="H39" i="6"/>
  <c r="H24" i="6" s="1"/>
  <c r="H38" i="6"/>
  <c r="F39" i="6"/>
  <c r="F38" i="6"/>
  <c r="H32" i="6"/>
  <c r="H23" i="6" s="1"/>
  <c r="H31" i="6"/>
  <c r="J46" i="6"/>
  <c r="J45" i="6"/>
  <c r="J44" i="6"/>
  <c r="J31" i="6"/>
  <c r="J32" i="6"/>
  <c r="J18" i="6"/>
  <c r="J16" i="6"/>
  <c r="J12" i="6"/>
  <c r="J11" i="6"/>
  <c r="J9" i="6"/>
  <c r="J7" i="6"/>
  <c r="J4" i="6"/>
  <c r="J8" i="6" s="1"/>
  <c r="J47" i="6" l="1"/>
  <c r="J41" i="6"/>
  <c r="J13" i="6"/>
  <c r="J37" i="6"/>
  <c r="J38" i="6" l="1"/>
  <c r="J39" i="6"/>
  <c r="F32" i="6" l="1"/>
  <c r="F31" i="6"/>
  <c r="H45" i="6" l="1"/>
  <c r="F45" i="6"/>
  <c r="H44" i="6"/>
  <c r="F44" i="6"/>
  <c r="F23" i="6"/>
  <c r="H46" i="6"/>
  <c r="F46" i="6"/>
  <c r="H16" i="6"/>
  <c r="H18" i="6" s="1"/>
  <c r="F16" i="6"/>
  <c r="F18" i="6" s="1"/>
  <c r="H12" i="6"/>
  <c r="F12" i="6"/>
  <c r="H11" i="6"/>
  <c r="H10" i="6"/>
  <c r="F10" i="6"/>
  <c r="H9" i="6"/>
  <c r="H7" i="6"/>
  <c r="F7" i="6"/>
  <c r="F5" i="6"/>
  <c r="H4" i="6"/>
  <c r="F4" i="6"/>
  <c r="F47" i="6" l="1"/>
  <c r="H47" i="6"/>
  <c r="F25" i="6"/>
  <c r="F8" i="6"/>
  <c r="H8" i="6"/>
  <c r="F24" i="6" l="1"/>
  <c r="H13" i="6"/>
  <c r="H41" i="6"/>
  <c r="F13" i="6"/>
  <c r="F41" i="6"/>
  <c r="N47" i="4"/>
  <c r="M47" i="4" s="1"/>
  <c r="M55" i="4"/>
  <c r="M54" i="4"/>
  <c r="M53" i="4"/>
  <c r="L53" i="4" s="1"/>
  <c r="K53" i="4" s="1"/>
  <c r="J53" i="4" s="1"/>
  <c r="I53" i="4" s="1"/>
  <c r="M52" i="4"/>
  <c r="M48" i="4"/>
  <c r="L48" i="4" s="1"/>
  <c r="K48" i="4" s="1"/>
  <c r="J48" i="4" s="1"/>
  <c r="I48" i="4" s="1"/>
  <c r="H48" i="4" s="1"/>
  <c r="G48" i="4" s="1"/>
  <c r="M46" i="4"/>
  <c r="L46" i="4" s="1"/>
  <c r="K46" i="4" s="1"/>
  <c r="J46" i="4" s="1"/>
  <c r="I46" i="4" s="1"/>
  <c r="H46" i="4" s="1"/>
  <c r="G46" i="4" s="1"/>
  <c r="M41" i="4"/>
  <c r="L41" i="4" s="1"/>
  <c r="K41" i="4" s="1"/>
  <c r="J41" i="4" s="1"/>
  <c r="I41" i="4" s="1"/>
  <c r="H41" i="4" s="1"/>
  <c r="M40" i="4"/>
  <c r="L40" i="4" s="1"/>
  <c r="K40" i="4" s="1"/>
  <c r="J40" i="4" s="1"/>
  <c r="H40" i="4" s="1"/>
  <c r="M38" i="4"/>
  <c r="L38" i="4" s="1"/>
  <c r="H38" i="4" s="1"/>
  <c r="M37" i="4"/>
  <c r="L37" i="4" s="1"/>
  <c r="M34" i="4"/>
  <c r="M32" i="4"/>
  <c r="M26" i="4"/>
  <c r="M23" i="4"/>
  <c r="M22" i="4"/>
  <c r="L22" i="4" s="1"/>
  <c r="K22" i="4" s="1"/>
  <c r="J22" i="4" s="1"/>
  <c r="I22" i="4" s="1"/>
  <c r="H22" i="4" s="1"/>
  <c r="G22" i="4" s="1"/>
  <c r="M20" i="4"/>
  <c r="M17" i="4"/>
  <c r="L17" i="4" s="1"/>
  <c r="K17" i="4" s="1"/>
  <c r="J17" i="4" s="1"/>
  <c r="I17" i="4" s="1"/>
  <c r="H17" i="4" s="1"/>
  <c r="G17" i="4" s="1"/>
  <c r="M15" i="4"/>
  <c r="L15" i="4" s="1"/>
  <c r="M13" i="4"/>
  <c r="M56" i="4" l="1"/>
  <c r="L52" i="4"/>
  <c r="L49" i="4"/>
  <c r="K37" i="4"/>
  <c r="H53" i="4"/>
  <c r="L24" i="4"/>
  <c r="L29" i="4" s="1"/>
  <c r="K15" i="4"/>
  <c r="J37" i="4" l="1"/>
  <c r="K49" i="4"/>
  <c r="L56" i="4"/>
  <c r="L60" i="4" s="1"/>
  <c r="K52" i="4"/>
  <c r="J15" i="4"/>
  <c r="K24" i="4"/>
  <c r="K29" i="4" s="1"/>
  <c r="J52" i="4" l="1"/>
  <c r="K56" i="4"/>
  <c r="K60" i="4" s="1"/>
  <c r="I37" i="4"/>
  <c r="J49" i="4"/>
  <c r="J24" i="4"/>
  <c r="J29" i="4" s="1"/>
  <c r="N56" i="4"/>
  <c r="R19" i="2"/>
  <c r="R15" i="2"/>
  <c r="R13" i="2"/>
  <c r="R9" i="2"/>
  <c r="R8" i="2"/>
  <c r="R7" i="2"/>
  <c r="R11" i="2" s="1"/>
  <c r="R4" i="2"/>
  <c r="R3" i="2"/>
  <c r="H37" i="4" l="1"/>
  <c r="I49" i="4"/>
  <c r="J56" i="4"/>
  <c r="J60" i="4" s="1"/>
  <c r="I52" i="4"/>
  <c r="H15" i="4"/>
  <c r="I24" i="4"/>
  <c r="I29" i="4" s="1"/>
  <c r="R5" i="2"/>
  <c r="R12" i="2" s="1"/>
  <c r="R14" i="2" s="1"/>
  <c r="R16" i="2" s="1"/>
  <c r="S12" i="2"/>
  <c r="S5" i="2"/>
  <c r="O58" i="4"/>
  <c r="O28" i="4"/>
  <c r="H49" i="4" l="1"/>
  <c r="G49" i="4"/>
  <c r="H24" i="4"/>
  <c r="H29" i="4" s="1"/>
  <c r="G24" i="4"/>
  <c r="G29" i="4" s="1"/>
  <c r="H52" i="4"/>
  <c r="H56" i="4" s="1"/>
  <c r="I56" i="4"/>
  <c r="I60" i="4" s="1"/>
  <c r="O45" i="4"/>
  <c r="O44" i="4"/>
  <c r="O43" i="4"/>
  <c r="N43" i="4" s="1"/>
  <c r="M43" i="4" s="1"/>
  <c r="O42" i="4"/>
  <c r="O35" i="4"/>
  <c r="O33" i="4"/>
  <c r="O27" i="4"/>
  <c r="O25" i="4"/>
  <c r="O21" i="4"/>
  <c r="O19" i="4"/>
  <c r="O18" i="4"/>
  <c r="N18" i="4" s="1"/>
  <c r="M18" i="4" s="1"/>
  <c r="O16" i="4"/>
  <c r="O14" i="4"/>
  <c r="O12" i="4"/>
  <c r="O11" i="4"/>
  <c r="O10" i="4"/>
  <c r="O9" i="4"/>
  <c r="O7" i="4"/>
  <c r="O6" i="4"/>
  <c r="O4" i="4"/>
  <c r="O56" i="4"/>
  <c r="G60" i="4" l="1"/>
  <c r="H60" i="4"/>
  <c r="O49" i="4"/>
  <c r="O24" i="4"/>
  <c r="O29" i="4" s="1"/>
  <c r="O60" i="4" l="1"/>
  <c r="T13" i="2"/>
  <c r="T11" i="2"/>
  <c r="T5" i="2"/>
  <c r="U5" i="2" s="1"/>
  <c r="T12" i="2" l="1"/>
  <c r="T14" i="2" s="1"/>
  <c r="T16" i="2" s="1"/>
  <c r="P58" i="4"/>
  <c r="N58" i="4" s="1"/>
  <c r="M58" i="4" s="1"/>
  <c r="U12" i="2" l="1"/>
  <c r="P45" i="4"/>
  <c r="N45" i="4" s="1"/>
  <c r="M45" i="4" s="1"/>
  <c r="P44" i="4"/>
  <c r="N44" i="4" s="1"/>
  <c r="M44" i="4" s="1"/>
  <c r="P42" i="4"/>
  <c r="N42" i="4" s="1"/>
  <c r="M42" i="4" s="1"/>
  <c r="P35" i="4"/>
  <c r="N35" i="4" s="1"/>
  <c r="M35" i="4" s="1"/>
  <c r="P33" i="4"/>
  <c r="N33" i="4" s="1"/>
  <c r="P28" i="4"/>
  <c r="N28" i="4" s="1"/>
  <c r="M28" i="4" s="1"/>
  <c r="P27" i="4"/>
  <c r="N27" i="4" s="1"/>
  <c r="M27" i="4" s="1"/>
  <c r="P25" i="4"/>
  <c r="N25" i="4" s="1"/>
  <c r="M25" i="4" s="1"/>
  <c r="P21" i="4"/>
  <c r="N21" i="4" s="1"/>
  <c r="M21" i="4" s="1"/>
  <c r="P19" i="4"/>
  <c r="M19" i="4" s="1"/>
  <c r="P16" i="4"/>
  <c r="N16" i="4" s="1"/>
  <c r="M16" i="4" s="1"/>
  <c r="P14" i="4"/>
  <c r="N14" i="4" s="1"/>
  <c r="M14" i="4" s="1"/>
  <c r="P12" i="4"/>
  <c r="N12" i="4" s="1"/>
  <c r="M12" i="4" s="1"/>
  <c r="P11" i="4"/>
  <c r="N11" i="4" s="1"/>
  <c r="M11" i="4" s="1"/>
  <c r="P10" i="4"/>
  <c r="N10" i="4" s="1"/>
  <c r="M10" i="4" s="1"/>
  <c r="P9" i="4"/>
  <c r="P7" i="4"/>
  <c r="N7" i="4" s="1"/>
  <c r="M7" i="4" s="1"/>
  <c r="P6" i="4"/>
  <c r="N6" i="4" s="1"/>
  <c r="M6" i="4" s="1"/>
  <c r="P4" i="4"/>
  <c r="P56" i="4"/>
  <c r="P49" i="4"/>
  <c r="V11" i="2"/>
  <c r="V5" i="2"/>
  <c r="M33" i="4" l="1"/>
  <c r="M49" i="4" s="1"/>
  <c r="N49" i="4"/>
  <c r="P24" i="4"/>
  <c r="P29" i="4" s="1"/>
  <c r="P60" i="4" s="1"/>
  <c r="M9" i="4"/>
  <c r="V12" i="2"/>
  <c r="V14" i="2"/>
  <c r="V16" i="2" s="1"/>
  <c r="W12" i="2"/>
  <c r="W5" i="2"/>
  <c r="Q4" i="4" l="1"/>
  <c r="Q56" i="4"/>
  <c r="Q49" i="4"/>
  <c r="Q24" i="4" l="1"/>
  <c r="Q29" i="4" s="1"/>
  <c r="Q60" i="4" s="1"/>
  <c r="N4" i="4"/>
  <c r="X11" i="2"/>
  <c r="X5" i="2"/>
  <c r="Y5" i="2" s="1"/>
  <c r="M4" i="4" l="1"/>
  <c r="M24" i="4" s="1"/>
  <c r="M29" i="4" s="1"/>
  <c r="M60" i="4" s="1"/>
  <c r="N24" i="4"/>
  <c r="N29" i="4" s="1"/>
  <c r="N60" i="4" s="1"/>
  <c r="X12" i="2"/>
  <c r="Y12" i="2"/>
  <c r="X14" i="2" l="1"/>
  <c r="X16" i="2" s="1"/>
  <c r="S54" i="4" l="1"/>
  <c r="R54" i="4" s="1"/>
  <c r="S55" i="4"/>
  <c r="R55" i="4" s="1"/>
  <c r="S53" i="4"/>
  <c r="R53" i="4" s="1"/>
  <c r="S52" i="4"/>
  <c r="R52" i="4" s="1"/>
  <c r="S48" i="4"/>
  <c r="S41" i="4"/>
  <c r="R41" i="4" s="1"/>
  <c r="S40" i="4"/>
  <c r="R40" i="4" s="1"/>
  <c r="S38" i="4"/>
  <c r="R38" i="4" s="1"/>
  <c r="S37" i="4"/>
  <c r="R37" i="4" s="1"/>
  <c r="S34" i="4"/>
  <c r="R34" i="4" s="1"/>
  <c r="R48" i="4"/>
  <c r="S26" i="4"/>
  <c r="R26" i="4"/>
  <c r="S22" i="4"/>
  <c r="R22" i="4" s="1"/>
  <c r="S20" i="4"/>
  <c r="R20" i="4" s="1"/>
  <c r="S19" i="4"/>
  <c r="R19" i="4" s="1"/>
  <c r="S17" i="4"/>
  <c r="R17" i="4" s="1"/>
  <c r="S15" i="4"/>
  <c r="S13" i="4"/>
  <c r="R9" i="4"/>
  <c r="R13" i="4"/>
  <c r="R15" i="4"/>
  <c r="R23" i="4"/>
  <c r="R56" i="4" l="1"/>
  <c r="S56" i="4"/>
  <c r="Z11" i="2" l="1"/>
  <c r="Z5" i="2"/>
  <c r="Z12" i="2" l="1"/>
  <c r="AA5" i="2"/>
  <c r="AA12" i="2" l="1"/>
  <c r="Z14" i="2"/>
  <c r="Z16" i="2" s="1"/>
  <c r="T56" i="4"/>
  <c r="T47" i="4"/>
  <c r="T46" i="4"/>
  <c r="S46" i="4" s="1"/>
  <c r="R46" i="4" s="1"/>
  <c r="T45" i="4"/>
  <c r="T44" i="4"/>
  <c r="T43" i="4"/>
  <c r="T42" i="4"/>
  <c r="T35" i="4"/>
  <c r="T33" i="4"/>
  <c r="T32" i="4"/>
  <c r="T27" i="4"/>
  <c r="T25" i="4"/>
  <c r="T21" i="4"/>
  <c r="T18" i="4"/>
  <c r="T16" i="4"/>
  <c r="T14" i="4"/>
  <c r="T12" i="4"/>
  <c r="T11" i="4"/>
  <c r="T10" i="4"/>
  <c r="T7" i="4"/>
  <c r="T6" i="4"/>
  <c r="T49" i="4" l="1"/>
  <c r="T24" i="4"/>
  <c r="T29" i="4" s="1"/>
  <c r="T60" i="4" l="1"/>
  <c r="AB14" i="2" l="1"/>
  <c r="AB13" i="2"/>
  <c r="AC12" i="2"/>
  <c r="AB9" i="2"/>
  <c r="AB8" i="2"/>
  <c r="AB11" i="2" s="1"/>
  <c r="AB7" i="2"/>
  <c r="AB16" i="2"/>
  <c r="AB5" i="2"/>
  <c r="AC5" i="2" s="1"/>
  <c r="AB12" i="2" l="1"/>
  <c r="U58" i="4"/>
  <c r="S58" i="4" s="1"/>
  <c r="R58" i="4" s="1"/>
  <c r="U47" i="4"/>
  <c r="S47" i="4" s="1"/>
  <c r="R47" i="4" s="1"/>
  <c r="U45" i="4"/>
  <c r="S45" i="4" s="1"/>
  <c r="R45" i="4" s="1"/>
  <c r="U44" i="4"/>
  <c r="S44" i="4" s="1"/>
  <c r="R44" i="4" s="1"/>
  <c r="U43" i="4"/>
  <c r="S43" i="4" s="1"/>
  <c r="R43" i="4" s="1"/>
  <c r="U42" i="4"/>
  <c r="S42" i="4" s="1"/>
  <c r="R42" i="4" s="1"/>
  <c r="U35" i="4"/>
  <c r="S35" i="4" s="1"/>
  <c r="R35" i="4" s="1"/>
  <c r="U33" i="4"/>
  <c r="S33" i="4" s="1"/>
  <c r="R33" i="4" s="1"/>
  <c r="U32" i="4"/>
  <c r="S32" i="4" s="1"/>
  <c r="U28" i="4"/>
  <c r="S28" i="4" s="1"/>
  <c r="R28" i="4" s="1"/>
  <c r="U27" i="4"/>
  <c r="S27" i="4" s="1"/>
  <c r="R27" i="4" s="1"/>
  <c r="U25" i="4"/>
  <c r="S25" i="4" s="1"/>
  <c r="R25" i="4" s="1"/>
  <c r="U21" i="4"/>
  <c r="S21" i="4" s="1"/>
  <c r="R21" i="4" s="1"/>
  <c r="U18" i="4"/>
  <c r="S18" i="4" s="1"/>
  <c r="R18" i="4" s="1"/>
  <c r="U16" i="4"/>
  <c r="S16" i="4" s="1"/>
  <c r="R16" i="4" s="1"/>
  <c r="U14" i="4"/>
  <c r="S14" i="4" s="1"/>
  <c r="R14" i="4" s="1"/>
  <c r="U12" i="4"/>
  <c r="S12" i="4" s="1"/>
  <c r="R12" i="4" s="1"/>
  <c r="U11" i="4"/>
  <c r="S11" i="4" s="1"/>
  <c r="R11" i="4" s="1"/>
  <c r="U10" i="4"/>
  <c r="U7" i="4"/>
  <c r="S7" i="4" s="1"/>
  <c r="R7" i="4" s="1"/>
  <c r="U6" i="4"/>
  <c r="S6" i="4" s="1"/>
  <c r="R6" i="4" s="1"/>
  <c r="U4" i="4"/>
  <c r="S4" i="4" s="1"/>
  <c r="X4" i="4"/>
  <c r="Y4" i="4"/>
  <c r="Z4" i="4"/>
  <c r="AB4" i="4"/>
  <c r="AC4" i="4" s="1"/>
  <c r="AH4" i="4"/>
  <c r="X6" i="4"/>
  <c r="Y6" i="4"/>
  <c r="Z6" i="4"/>
  <c r="AC6" i="4"/>
  <c r="AH6" i="4"/>
  <c r="X7" i="4"/>
  <c r="Y7" i="4"/>
  <c r="Z7" i="4"/>
  <c r="AC7" i="4"/>
  <c r="AH7" i="4"/>
  <c r="X9" i="4"/>
  <c r="Y9" i="4"/>
  <c r="Z9" i="4"/>
  <c r="V10" i="4"/>
  <c r="V24" i="4" s="1"/>
  <c r="V29" i="4" s="1"/>
  <c r="X10" i="4"/>
  <c r="Y10" i="4"/>
  <c r="Z10" i="4"/>
  <c r="AA10" i="4"/>
  <c r="AA24" i="4" s="1"/>
  <c r="AA29" i="4" s="1"/>
  <c r="AC10" i="4"/>
  <c r="AH10" i="4"/>
  <c r="X11" i="4"/>
  <c r="Y11" i="4"/>
  <c r="Z11" i="4"/>
  <c r="AC11" i="4"/>
  <c r="AH11" i="4"/>
  <c r="X12" i="4"/>
  <c r="Y12" i="4"/>
  <c r="Z12" i="4"/>
  <c r="AC12" i="4"/>
  <c r="AH12" i="4"/>
  <c r="X13" i="4"/>
  <c r="AC13" i="4"/>
  <c r="AH13" i="4"/>
  <c r="X14" i="4"/>
  <c r="X24" i="4" s="1"/>
  <c r="X29" i="4" s="1"/>
  <c r="Y14" i="4"/>
  <c r="Z14" i="4"/>
  <c r="AC14" i="4"/>
  <c r="AH14" i="4"/>
  <c r="AC15" i="4"/>
  <c r="AH15" i="4"/>
  <c r="X16" i="4"/>
  <c r="Y16" i="4"/>
  <c r="Z16" i="4"/>
  <c r="AB16" i="4"/>
  <c r="AC16" i="4"/>
  <c r="AH16" i="4"/>
  <c r="AH17" i="4"/>
  <c r="X18" i="4"/>
  <c r="AC18" i="4"/>
  <c r="AH18" i="4"/>
  <c r="X19" i="4"/>
  <c r="X21" i="4"/>
  <c r="Y21" i="4"/>
  <c r="Z21" i="4"/>
  <c r="AC21" i="4"/>
  <c r="AH21" i="4"/>
  <c r="AH22" i="4"/>
  <c r="Y23" i="4"/>
  <c r="Z23" i="4"/>
  <c r="AH23" i="4"/>
  <c r="U24" i="4"/>
  <c r="U29" i="4" s="1"/>
  <c r="W24" i="4"/>
  <c r="W29" i="4" s="1"/>
  <c r="AB24" i="4"/>
  <c r="AB29" i="4" s="1"/>
  <c r="AD24" i="4"/>
  <c r="AE24" i="4"/>
  <c r="AF24" i="4"/>
  <c r="AF29" i="4" s="1"/>
  <c r="AG24" i="4"/>
  <c r="AI24" i="4"/>
  <c r="AJ24" i="4"/>
  <c r="AK24" i="4"/>
  <c r="X25" i="4"/>
  <c r="Y25" i="4"/>
  <c r="Z25" i="4"/>
  <c r="AB25" i="4"/>
  <c r="AC25" i="4"/>
  <c r="AG25" i="4"/>
  <c r="AH25" i="4" s="1"/>
  <c r="X27" i="4"/>
  <c r="Y27" i="4"/>
  <c r="Z27" i="4"/>
  <c r="AC27" i="4"/>
  <c r="AH27" i="4"/>
  <c r="X28" i="4"/>
  <c r="Y28" i="4"/>
  <c r="Z28" i="4"/>
  <c r="AC28" i="4"/>
  <c r="AH28" i="4"/>
  <c r="AE29" i="4"/>
  <c r="AJ29" i="4"/>
  <c r="AK29" i="4"/>
  <c r="X32" i="4"/>
  <c r="Y32" i="4"/>
  <c r="Y49" i="4" s="1"/>
  <c r="Z32" i="4"/>
  <c r="AC32" i="4"/>
  <c r="AH32" i="4"/>
  <c r="X33" i="4"/>
  <c r="AC33" i="4"/>
  <c r="AH33" i="4"/>
  <c r="Y34" i="4"/>
  <c r="Z34" i="4"/>
  <c r="AC34" i="4"/>
  <c r="AH34" i="4"/>
  <c r="AC37" i="4"/>
  <c r="AH37" i="4"/>
  <c r="AC40" i="4"/>
  <c r="AH40" i="4"/>
  <c r="AC41" i="4"/>
  <c r="AH41" i="4"/>
  <c r="X42" i="4"/>
  <c r="Y42" i="4"/>
  <c r="Z42" i="4"/>
  <c r="AC42" i="4"/>
  <c r="AH42" i="4"/>
  <c r="X43" i="4"/>
  <c r="Y43" i="4"/>
  <c r="Z43" i="4"/>
  <c r="AB43" i="4"/>
  <c r="AB49" i="4" s="1"/>
  <c r="AH43" i="4"/>
  <c r="X44" i="4"/>
  <c r="Y44" i="4"/>
  <c r="Z44" i="4"/>
  <c r="AC44" i="4"/>
  <c r="AH44" i="4"/>
  <c r="X45" i="4"/>
  <c r="Y45" i="4"/>
  <c r="Z45" i="4"/>
  <c r="AC45" i="4"/>
  <c r="AH45" i="4"/>
  <c r="X47" i="4"/>
  <c r="Y47" i="4"/>
  <c r="Z47" i="4"/>
  <c r="AC47" i="4"/>
  <c r="AH47" i="4"/>
  <c r="AC48" i="4"/>
  <c r="AH48" i="4"/>
  <c r="U49" i="4"/>
  <c r="V49" i="4"/>
  <c r="W49" i="4"/>
  <c r="AA49" i="4"/>
  <c r="AD49" i="4"/>
  <c r="AD60" i="4" s="1"/>
  <c r="AE49" i="4"/>
  <c r="AF49" i="4"/>
  <c r="AG49" i="4"/>
  <c r="AI49" i="4"/>
  <c r="AJ49" i="4"/>
  <c r="AK49" i="4"/>
  <c r="AC52" i="4"/>
  <c r="AH52" i="4"/>
  <c r="X53" i="4"/>
  <c r="AC53" i="4"/>
  <c r="AH53" i="4"/>
  <c r="U56" i="4"/>
  <c r="V56" i="4"/>
  <c r="W56" i="4"/>
  <c r="X56" i="4"/>
  <c r="Y56" i="4"/>
  <c r="Z56" i="4"/>
  <c r="AA56" i="4"/>
  <c r="AB56" i="4"/>
  <c r="AE56" i="4"/>
  <c r="AE60" i="4" s="1"/>
  <c r="AE64" i="4" s="1"/>
  <c r="AD62" i="4" s="1"/>
  <c r="AF56" i="4"/>
  <c r="AG56" i="4"/>
  <c r="AI56" i="4"/>
  <c r="AJ56" i="4"/>
  <c r="AK56" i="4"/>
  <c r="Y58" i="4"/>
  <c r="Z58" i="4"/>
  <c r="AC58" i="4"/>
  <c r="AH58" i="4"/>
  <c r="AI60" i="4"/>
  <c r="AB62" i="4"/>
  <c r="AG62" i="4"/>
  <c r="AH62" i="4"/>
  <c r="AX5" i="2"/>
  <c r="BB5" i="2"/>
  <c r="AH4" i="2"/>
  <c r="AX4" i="2"/>
  <c r="AD5" i="2"/>
  <c r="AF5" i="2"/>
  <c r="AJ5" i="2"/>
  <c r="AJ12" i="2" s="1"/>
  <c r="AL5" i="2"/>
  <c r="AM5" i="2" s="1"/>
  <c r="AN5" i="2"/>
  <c r="AO5" i="2" s="1"/>
  <c r="AP5" i="2"/>
  <c r="AQ5" i="2" s="1"/>
  <c r="AR5" i="2"/>
  <c r="AV5" i="2"/>
  <c r="AZ5" i="2"/>
  <c r="BA5" i="2"/>
  <c r="BD5" i="2"/>
  <c r="AH7" i="2"/>
  <c r="AP7" i="2"/>
  <c r="AR7" i="2"/>
  <c r="AR11" i="2" s="1"/>
  <c r="AS11" i="2" s="1"/>
  <c r="AX7" i="2"/>
  <c r="AH8" i="2"/>
  <c r="AX8" i="2"/>
  <c r="AH9" i="2"/>
  <c r="AP9" i="2"/>
  <c r="AR9" i="2"/>
  <c r="AX9" i="2"/>
  <c r="AD11" i="2"/>
  <c r="AF11" i="2"/>
  <c r="AH11" i="2"/>
  <c r="AJ11" i="2"/>
  <c r="AL11" i="2"/>
  <c r="AN11" i="2"/>
  <c r="AP11" i="2"/>
  <c r="AT11" i="2"/>
  <c r="AV11" i="2"/>
  <c r="AW11" i="2" s="1"/>
  <c r="AX11" i="2"/>
  <c r="AY11" i="2" s="1"/>
  <c r="AZ11" i="2"/>
  <c r="BA11" i="2" s="1"/>
  <c r="BB11" i="2"/>
  <c r="BC11" i="2" s="1"/>
  <c r="BD11" i="2"/>
  <c r="BE11" i="2" s="1"/>
  <c r="AH13" i="2"/>
  <c r="AX13" i="2"/>
  <c r="AH15" i="2"/>
  <c r="AX15" i="2"/>
  <c r="AD16" i="2"/>
  <c r="AF16" i="2"/>
  <c r="AH19" i="2"/>
  <c r="AX19" i="2"/>
  <c r="AA60" i="4" l="1"/>
  <c r="AK60" i="4"/>
  <c r="AK64" i="4" s="1"/>
  <c r="AD64" i="4"/>
  <c r="AC62" i="4" s="1"/>
  <c r="AC49" i="4"/>
  <c r="X49" i="4"/>
  <c r="Z49" i="4"/>
  <c r="AJ60" i="4"/>
  <c r="AJ64" i="4" s="1"/>
  <c r="W60" i="4"/>
  <c r="V60" i="4"/>
  <c r="Z24" i="4"/>
  <c r="Z29" i="4" s="1"/>
  <c r="AC56" i="4"/>
  <c r="AH56" i="4"/>
  <c r="AG29" i="4"/>
  <c r="AG60" i="4" s="1"/>
  <c r="U60" i="4"/>
  <c r="Y24" i="4"/>
  <c r="Y29" i="4" s="1"/>
  <c r="Y60" i="4" s="1"/>
  <c r="AF60" i="4"/>
  <c r="AF64" i="4" s="1"/>
  <c r="X60" i="4"/>
  <c r="Z60" i="4"/>
  <c r="AG64" i="4"/>
  <c r="AB60" i="4"/>
  <c r="AB64" i="4" s="1"/>
  <c r="AC29" i="4"/>
  <c r="AC43" i="4"/>
  <c r="S10" i="4"/>
  <c r="R10" i="4" s="1"/>
  <c r="R32" i="4"/>
  <c r="R49" i="4" s="1"/>
  <c r="S49" i="4"/>
  <c r="R4" i="4"/>
  <c r="S24" i="4"/>
  <c r="S29" i="4" s="1"/>
  <c r="AH49" i="4"/>
  <c r="AC24" i="4"/>
  <c r="AH24" i="4"/>
  <c r="AH29" i="4" s="1"/>
  <c r="AR12" i="2"/>
  <c r="AR14" i="2" s="1"/>
  <c r="AR16" i="2" s="1"/>
  <c r="AS16" i="2" s="1"/>
  <c r="AV12" i="2"/>
  <c r="AV14" i="2" s="1"/>
  <c r="AV16" i="2" s="1"/>
  <c r="AW16" i="2" s="1"/>
  <c r="BD12" i="2"/>
  <c r="BD14" i="2" s="1"/>
  <c r="BD16" i="2" s="1"/>
  <c r="BE16" i="2" s="1"/>
  <c r="AS5" i="2"/>
  <c r="AS12" i="2" s="1"/>
  <c r="AN12" i="2"/>
  <c r="AO12" i="2" s="1"/>
  <c r="AF12" i="2"/>
  <c r="AG12" i="2" s="1"/>
  <c r="BA12" i="2"/>
  <c r="AL12" i="2"/>
  <c r="AM12" i="2" s="1"/>
  <c r="AZ12" i="2"/>
  <c r="AZ14" i="2" s="1"/>
  <c r="AZ16" i="2" s="1"/>
  <c r="BA16" i="2" s="1"/>
  <c r="AK5" i="2"/>
  <c r="AP12" i="2"/>
  <c r="AQ12" i="2" s="1"/>
  <c r="BE5" i="2"/>
  <c r="AW5" i="2"/>
  <c r="AW12" i="2" s="1"/>
  <c r="AG5" i="2"/>
  <c r="AL14" i="2"/>
  <c r="AL16" i="2" s="1"/>
  <c r="BC5" i="2"/>
  <c r="BC12" i="2" s="1"/>
  <c r="BB12" i="2"/>
  <c r="BB14" i="2" s="1"/>
  <c r="BB16" i="2" s="1"/>
  <c r="BC16" i="2" s="1"/>
  <c r="AK12" i="2"/>
  <c r="AJ14" i="2"/>
  <c r="AJ16" i="2" s="1"/>
  <c r="AY5" i="2"/>
  <c r="AX12" i="2"/>
  <c r="AX14" i="2" s="1"/>
  <c r="AX16" i="2" s="1"/>
  <c r="AY16" i="2" s="1"/>
  <c r="AH5" i="2"/>
  <c r="AP14" i="2"/>
  <c r="AP16" i="2" s="1"/>
  <c r="AQ16" i="2" s="1"/>
  <c r="AE5" i="2"/>
  <c r="AD12" i="2"/>
  <c r="AE12" i="2" s="1"/>
  <c r="AT5" i="2"/>
  <c r="AH60" i="4" l="1"/>
  <c r="AH64" i="4" s="1"/>
  <c r="AC60" i="4"/>
  <c r="AC64" i="4" s="1"/>
  <c r="S60" i="4"/>
  <c r="R24" i="4"/>
  <c r="R29" i="4" s="1"/>
  <c r="R60" i="4" s="1"/>
  <c r="W62" i="4"/>
  <c r="W64" i="4" s="1"/>
  <c r="AA62" i="4"/>
  <c r="AA64" i="4" s="1"/>
  <c r="Z62" i="4" s="1"/>
  <c r="Z64" i="4" s="1"/>
  <c r="Y62" i="4" s="1"/>
  <c r="Y64" i="4" s="1"/>
  <c r="X62" i="4" s="1"/>
  <c r="X64" i="4" s="1"/>
  <c r="AN14" i="2"/>
  <c r="AN16" i="2" s="1"/>
  <c r="AU5" i="2"/>
  <c r="AT12" i="2"/>
  <c r="AI5" i="2"/>
  <c r="AH12" i="2"/>
  <c r="R62" i="4" l="1"/>
  <c r="V62" i="4"/>
  <c r="V64" i="4" s="1"/>
  <c r="U62" i="4" s="1"/>
  <c r="U64" i="4" s="1"/>
  <c r="T62" i="4" s="1"/>
  <c r="T64" i="4" s="1"/>
  <c r="S62" i="4" s="1"/>
  <c r="S64" i="4" s="1"/>
  <c r="R64" i="4" s="1"/>
  <c r="AI12" i="2"/>
  <c r="AH14" i="2"/>
  <c r="AH16" i="2" s="1"/>
  <c r="AU12" i="2"/>
  <c r="AT14" i="2"/>
  <c r="AT16" i="2" s="1"/>
  <c r="Q62" i="4" l="1"/>
  <c r="Q64" i="4" s="1"/>
  <c r="M62" i="4"/>
  <c r="M64" i="4" s="1"/>
  <c r="H62" i="4" s="1"/>
  <c r="H64" i="4" s="1"/>
  <c r="P62" i="4" l="1"/>
  <c r="P64" i="4" s="1"/>
  <c r="O62" i="4" s="1"/>
  <c r="O64" i="4" s="1"/>
  <c r="N62" i="4" s="1"/>
  <c r="N64" i="4" s="1"/>
  <c r="L62" i="4" s="1"/>
  <c r="L64" i="4" s="1"/>
  <c r="K62" i="4" l="1"/>
  <c r="K64" i="4" s="1"/>
  <c r="J62" i="4" s="1"/>
  <c r="J64" i="4" s="1"/>
  <c r="I62" i="4" s="1"/>
  <c r="I64" i="4" s="1"/>
  <c r="G64" i="4"/>
</calcChain>
</file>

<file path=xl/comments1.xml><?xml version="1.0" encoding="utf-8"?>
<comments xmlns="http://schemas.openxmlformats.org/spreadsheetml/2006/main">
  <authors>
    <author>Cynthia Lee</author>
    <author>李曉芸</author>
  </authors>
  <commentList>
    <comment ref="AU5" authorId="0">
      <text>
        <r>
          <rPr>
            <b/>
            <sz val="9"/>
            <color indexed="81"/>
            <rFont val="Tahoma"/>
            <family val="2"/>
          </rPr>
          <t>Cynthia 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保持原樣。</t>
        </r>
      </text>
    </comment>
    <comment ref="AU16" authorId="0">
      <text>
        <r>
          <rPr>
            <b/>
            <sz val="9"/>
            <color indexed="81"/>
            <rFont val="Tahoma"/>
            <family val="2"/>
          </rPr>
          <t>Cynthia 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取消呈現</t>
        </r>
      </text>
    </comment>
    <comment ref="Z19" authorId="1">
      <text>
        <r>
          <rPr>
            <b/>
            <sz val="9"/>
            <color indexed="81"/>
            <rFont val="細明體"/>
            <family val="3"/>
            <charset val="136"/>
          </rPr>
          <t>李曉芸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改成</t>
        </r>
        <r>
          <rPr>
            <sz val="9"/>
            <color indexed="81"/>
            <rFont val="Tahoma"/>
            <family val="2"/>
          </rPr>
          <t>0.06</t>
        </r>
      </text>
    </comment>
  </commentList>
</comments>
</file>

<file path=xl/sharedStrings.xml><?xml version="1.0" encoding="utf-8"?>
<sst xmlns="http://schemas.openxmlformats.org/spreadsheetml/2006/main" count="235" uniqueCount="198">
  <si>
    <t>COGS</t>
  </si>
  <si>
    <t>Inventory(Gross)</t>
  </si>
  <si>
    <t>Revenue(Net Sales)</t>
    <phoneticPr fontId="1" type="noConversion"/>
  </si>
  <si>
    <t>A/P</t>
    <phoneticPr fontId="1" type="noConversion"/>
  </si>
  <si>
    <t>A/R(Gross)</t>
    <phoneticPr fontId="1" type="noConversion"/>
  </si>
  <si>
    <t>Days of the Quarter</t>
    <phoneticPr fontId="1" type="noConversion"/>
  </si>
  <si>
    <t>Current Ratio</t>
    <phoneticPr fontId="1" type="noConversion"/>
  </si>
  <si>
    <t>A/P Turnover Days</t>
    <phoneticPr fontId="1" type="noConversion"/>
  </si>
  <si>
    <t>營業收入淨額</t>
  </si>
  <si>
    <t>銷貨成本</t>
  </si>
  <si>
    <t>銷貨毛利</t>
  </si>
  <si>
    <t>營業費用</t>
  </si>
  <si>
    <t>　　推銷費用</t>
  </si>
  <si>
    <t>　　管理費用</t>
  </si>
  <si>
    <t>　　研發費用</t>
  </si>
  <si>
    <t>營業費用合計</t>
  </si>
  <si>
    <t xml:space="preserve">每股盈餘 (元) </t>
  </si>
  <si>
    <t>2013年第一季</t>
    <phoneticPr fontId="1" type="noConversion"/>
  </si>
  <si>
    <t>2012年第一季</t>
    <phoneticPr fontId="1" type="noConversion"/>
  </si>
  <si>
    <t>2012年第四季</t>
    <phoneticPr fontId="1" type="noConversion"/>
  </si>
  <si>
    <t>(單位: 新台幣仟元；除每股盈餘外)</t>
    <phoneticPr fontId="1" type="noConversion"/>
  </si>
  <si>
    <t xml:space="preserve">           應收帳款及票據</t>
  </si>
  <si>
    <t xml:space="preserve">           存貨(淨額)</t>
  </si>
  <si>
    <t xml:space="preserve">           其他流動資產</t>
  </si>
  <si>
    <t xml:space="preserve">      流動資產合計</t>
  </si>
  <si>
    <t xml:space="preserve">      固定資產淨額</t>
  </si>
  <si>
    <t xml:space="preserve">      無形資產</t>
  </si>
  <si>
    <t xml:space="preserve">      其他資產</t>
  </si>
  <si>
    <t>資產總計</t>
  </si>
  <si>
    <t xml:space="preserve">      應付帳款與票據</t>
  </si>
  <si>
    <t xml:space="preserve">      其他流動負債</t>
  </si>
  <si>
    <t>負債總計</t>
  </si>
  <si>
    <t>股東權益總計</t>
  </si>
  <si>
    <t>重要指標:</t>
  </si>
  <si>
    <t xml:space="preserve">      流動比率</t>
  </si>
  <si>
    <t>(單位: 新台幣仟元；除重要指標外)</t>
    <phoneticPr fontId="1" type="noConversion"/>
  </si>
  <si>
    <t>擷取自資產負債表的科目：</t>
    <phoneticPr fontId="1" type="noConversion"/>
  </si>
  <si>
    <t>　本期稅前淨利（淨損）</t>
  </si>
  <si>
    <t>　　　折舊費用</t>
  </si>
  <si>
    <t>　　　攤銷費用</t>
  </si>
  <si>
    <t>　　　利息費用</t>
  </si>
  <si>
    <t>　　　利息收入</t>
  </si>
  <si>
    <t>　　　股份基礎給付酬勞成本</t>
  </si>
  <si>
    <t>　　　採用權益法認列之關聯企業及合資損失（利益）之份額</t>
  </si>
  <si>
    <t>　　　不動產、廠房及設備轉列費用數</t>
  </si>
  <si>
    <t>　　　處分投資損失（利益）</t>
  </si>
  <si>
    <t>　　　未實現外幣兌換損失（利益）</t>
  </si>
  <si>
    <t>　支付之利息</t>
  </si>
  <si>
    <t>　  退還（支付）之所得稅</t>
    <phoneticPr fontId="1" type="noConversion"/>
  </si>
  <si>
    <t>　取得備供出售金融資產</t>
  </si>
  <si>
    <t>　處分備供出售金融資產</t>
  </si>
  <si>
    <t>　取得無活絡市場之債券投資</t>
  </si>
  <si>
    <t>　取得不動產、廠房及設備</t>
  </si>
  <si>
    <t>　取得無形資產</t>
  </si>
  <si>
    <t>　投資活動之淨現金流入（流出）</t>
  </si>
  <si>
    <t>匯率變動對現金及約當現金之影響</t>
  </si>
  <si>
    <t>本期現金及約當現金增加（減少）數</t>
  </si>
  <si>
    <t>期初現金及約當現金餘額</t>
  </si>
  <si>
    <t>期末現金及約當現金餘額</t>
  </si>
  <si>
    <t xml:space="preserve">    營業活動之淨現金流入（流出）</t>
    <phoneticPr fontId="1" type="noConversion"/>
  </si>
  <si>
    <t>投資活動之現金流量:</t>
    <phoneticPr fontId="1" type="noConversion"/>
  </si>
  <si>
    <t>籌資活動之現金流量:</t>
    <phoneticPr fontId="1" type="noConversion"/>
  </si>
  <si>
    <t xml:space="preserve">    籌資活動之淨現金流入（流出）</t>
    <phoneticPr fontId="1" type="noConversion"/>
  </si>
  <si>
    <t>(單位: 新台幣仟元)</t>
    <phoneticPr fontId="1" type="noConversion"/>
  </si>
  <si>
    <t>　　　透過損益按公允價值衡量金融資產及負債之淨損失（利益）</t>
    <phoneticPr fontId="1" type="noConversion"/>
  </si>
  <si>
    <t>營業活動之現金流量:</t>
    <phoneticPr fontId="1" type="noConversion"/>
  </si>
  <si>
    <t xml:space="preserve">    與營業活動相關之資產及負債之淨變動（合計數）</t>
    <phoneticPr fontId="1" type="noConversion"/>
  </si>
  <si>
    <t xml:space="preserve">    營運產生之現金流入（流出）</t>
    <phoneticPr fontId="1" type="noConversion"/>
  </si>
  <si>
    <t xml:space="preserve">    調整科目: </t>
    <phoneticPr fontId="1" type="noConversion"/>
  </si>
  <si>
    <t>2013年第二季</t>
    <phoneticPr fontId="1" type="noConversion"/>
  </si>
  <si>
    <t>2012年第二季</t>
    <phoneticPr fontId="1" type="noConversion"/>
  </si>
  <si>
    <t>　取得採用權益法之投資</t>
    <phoneticPr fontId="1" type="noConversion"/>
  </si>
  <si>
    <t>　存出保證金(增加)減少</t>
    <phoneticPr fontId="1" type="noConversion"/>
  </si>
  <si>
    <t>　存入保證金(增加)減少</t>
    <phoneticPr fontId="1" type="noConversion"/>
  </si>
  <si>
    <t>2012年第二季</t>
    <phoneticPr fontId="1" type="noConversion"/>
  </si>
  <si>
    <t>2013年第三季</t>
    <phoneticPr fontId="1" type="noConversion"/>
  </si>
  <si>
    <t>2012年第三季</t>
    <phoneticPr fontId="1" type="noConversion"/>
  </si>
  <si>
    <t xml:space="preserve">    發放現金股利</t>
    <phoneticPr fontId="1" type="noConversion"/>
  </si>
  <si>
    <t>2013年第三季</t>
    <phoneticPr fontId="1" type="noConversion"/>
  </si>
  <si>
    <t>2012年第三季</t>
    <phoneticPr fontId="1" type="noConversion"/>
  </si>
  <si>
    <t>QoQ</t>
    <phoneticPr fontId="1" type="noConversion"/>
  </si>
  <si>
    <t>YoY</t>
    <phoneticPr fontId="1" type="noConversion"/>
  </si>
  <si>
    <t>2013年第四季</t>
    <phoneticPr fontId="1" type="noConversion"/>
  </si>
  <si>
    <t>2012年第四季</t>
    <phoneticPr fontId="1" type="noConversion"/>
  </si>
  <si>
    <t>2013年第四季</t>
    <phoneticPr fontId="1" type="noConversion"/>
  </si>
  <si>
    <t>2013年全年</t>
    <phoneticPr fontId="1" type="noConversion"/>
  </si>
  <si>
    <t xml:space="preserve">            股利收入</t>
    <phoneticPr fontId="1" type="noConversion"/>
  </si>
  <si>
    <t xml:space="preserve">    對子公司之收購</t>
    <phoneticPr fontId="1" type="noConversion"/>
  </si>
  <si>
    <t>2012年第四季</t>
    <phoneticPr fontId="1" type="noConversion"/>
  </si>
  <si>
    <t xml:space="preserve">            無形資產損益(帳列什項支出項下)</t>
    <phoneticPr fontId="1" type="noConversion"/>
  </si>
  <si>
    <t>　　　處分不動產(含投資性不動產)、廠房及設備損失（利益）</t>
    <phoneticPr fontId="1" type="noConversion"/>
  </si>
  <si>
    <t>A/R(Net)</t>
    <phoneticPr fontId="1" type="noConversion"/>
  </si>
  <si>
    <t>A/R Turnover Days(Gross)</t>
    <phoneticPr fontId="1" type="noConversion"/>
  </si>
  <si>
    <t>A/R Turnover Days(Net)</t>
    <phoneticPr fontId="1" type="noConversion"/>
  </si>
  <si>
    <t xml:space="preserve">Inventory Turnover Days (Gross) </t>
    <phoneticPr fontId="1" type="noConversion"/>
  </si>
  <si>
    <t>Inventory Turnover Days (net)</t>
    <phoneticPr fontId="1" type="noConversion"/>
  </si>
  <si>
    <t>Inventory(net)</t>
    <phoneticPr fontId="1" type="noConversion"/>
  </si>
  <si>
    <t xml:space="preserve">      存貨(淨額)週轉天數</t>
    <phoneticPr fontId="1" type="noConversion"/>
  </si>
  <si>
    <t xml:space="preserve">      應收帳款(淨額)週轉天數</t>
    <phoneticPr fontId="1" type="noConversion"/>
  </si>
  <si>
    <t>2014年第一季</t>
    <phoneticPr fontId="1" type="noConversion"/>
  </si>
  <si>
    <t>　　　呆帳費用</t>
    <phoneticPr fontId="1" type="noConversion"/>
  </si>
  <si>
    <t>2014年第一季</t>
    <phoneticPr fontId="1" type="noConversion"/>
  </si>
  <si>
    <t>2014年第二季</t>
    <phoneticPr fontId="1" type="noConversion"/>
  </si>
  <si>
    <t>2014年第二季</t>
    <phoneticPr fontId="1" type="noConversion"/>
  </si>
  <si>
    <t>2014年第三季</t>
    <phoneticPr fontId="1" type="noConversion"/>
  </si>
  <si>
    <t>2014年第三季</t>
    <phoneticPr fontId="1" type="noConversion"/>
  </si>
  <si>
    <t xml:space="preserve">    收取之股利</t>
    <phoneticPr fontId="1" type="noConversion"/>
  </si>
  <si>
    <t>2014年第四季</t>
    <phoneticPr fontId="1" type="noConversion"/>
  </si>
  <si>
    <t>2014年全年</t>
    <phoneticPr fontId="1" type="noConversion"/>
  </si>
  <si>
    <t>2014年第四季</t>
    <phoneticPr fontId="1" type="noConversion"/>
  </si>
  <si>
    <t>　取得持有至到期日金融資產</t>
    <phoneticPr fontId="1" type="noConversion"/>
  </si>
  <si>
    <t>　取得以成本衡量金融資產</t>
    <phoneticPr fontId="1" type="noConversion"/>
  </si>
  <si>
    <t>2015年第一季</t>
    <phoneticPr fontId="1" type="noConversion"/>
  </si>
  <si>
    <t>　處分無活絡市場之債券投資</t>
    <phoneticPr fontId="1" type="noConversion"/>
  </si>
  <si>
    <t>2015年第二季</t>
    <phoneticPr fontId="1" type="noConversion"/>
  </si>
  <si>
    <t>2015年第二季</t>
    <phoneticPr fontId="1" type="noConversion"/>
  </si>
  <si>
    <t xml:space="preserve">            金融資產減損損失</t>
    <phoneticPr fontId="1" type="noConversion"/>
  </si>
  <si>
    <t xml:space="preserve">            非金融資產減損損失</t>
    <phoneticPr fontId="1" type="noConversion"/>
  </si>
  <si>
    <t xml:space="preserve">           現金、約當現金及有價金融商品投資</t>
    <phoneticPr fontId="1" type="noConversion"/>
  </si>
  <si>
    <t xml:space="preserve">      預付設備款(增加)減少</t>
    <phoneticPr fontId="1" type="noConversion"/>
  </si>
  <si>
    <t>2015年第三季</t>
    <phoneticPr fontId="1" type="noConversion"/>
  </si>
  <si>
    <t>2015年第三季</t>
    <phoneticPr fontId="1" type="noConversion"/>
  </si>
  <si>
    <t>2015年第四季</t>
    <phoneticPr fontId="1" type="noConversion"/>
  </si>
  <si>
    <t>2015年第四季</t>
    <phoneticPr fontId="1" type="noConversion"/>
  </si>
  <si>
    <t>2015年全年</t>
    <phoneticPr fontId="1" type="noConversion"/>
  </si>
  <si>
    <t xml:space="preserve">    員工購買庫藏股</t>
    <phoneticPr fontId="1" type="noConversion"/>
  </si>
  <si>
    <t xml:space="preserve">    庫藏股票買回成本</t>
    <phoneticPr fontId="1" type="noConversion"/>
  </si>
  <si>
    <t xml:space="preserve">      處分無形資產價款</t>
    <phoneticPr fontId="1" type="noConversion"/>
  </si>
  <si>
    <t xml:space="preserve">      處分其他資產價款</t>
    <phoneticPr fontId="1" type="noConversion"/>
  </si>
  <si>
    <t>營業淨利 (損)</t>
    <phoneticPr fontId="1" type="noConversion"/>
  </si>
  <si>
    <t>營業外收入及支出</t>
    <phoneticPr fontId="1" type="noConversion"/>
  </si>
  <si>
    <t>稅前淨利 (損)</t>
    <phoneticPr fontId="1" type="noConversion"/>
  </si>
  <si>
    <t>所得稅利益 (費用)</t>
    <phoneticPr fontId="1" type="noConversion"/>
  </si>
  <si>
    <t>本期淨利 (損)</t>
    <phoneticPr fontId="1" type="noConversion"/>
  </si>
  <si>
    <t xml:space="preserve">      非流動負債</t>
    <phoneticPr fontId="1" type="noConversion"/>
  </si>
  <si>
    <t>2016年第一季</t>
    <phoneticPr fontId="1" type="noConversion"/>
  </si>
  <si>
    <t>2015年第一季</t>
    <phoneticPr fontId="1" type="noConversion"/>
  </si>
  <si>
    <t>2016年第一季</t>
    <phoneticPr fontId="1" type="noConversion"/>
  </si>
  <si>
    <t>2016年第二季</t>
    <phoneticPr fontId="1" type="noConversion"/>
  </si>
  <si>
    <t>2016年第二季</t>
    <phoneticPr fontId="1" type="noConversion"/>
  </si>
  <si>
    <t>　處分不動產、廠房及設備價款</t>
    <phoneticPr fontId="1" type="noConversion"/>
  </si>
  <si>
    <t>2016年第三季</t>
    <phoneticPr fontId="1" type="noConversion"/>
  </si>
  <si>
    <t>2016年第三季</t>
    <phoneticPr fontId="1" type="noConversion"/>
  </si>
  <si>
    <t>2016年第四季</t>
    <phoneticPr fontId="1" type="noConversion"/>
  </si>
  <si>
    <t>2016年第四季</t>
    <phoneticPr fontId="1" type="noConversion"/>
  </si>
  <si>
    <t>2016年全年</t>
    <phoneticPr fontId="1" type="noConversion"/>
  </si>
  <si>
    <t>(單位: 新台幣仟元；除每股盈餘外)</t>
    <phoneticPr fontId="1" type="noConversion"/>
  </si>
  <si>
    <t>2015年</t>
    <phoneticPr fontId="1" type="noConversion"/>
  </si>
  <si>
    <t>2014年</t>
    <phoneticPr fontId="1" type="noConversion"/>
  </si>
  <si>
    <t>YoY</t>
    <phoneticPr fontId="1" type="noConversion"/>
  </si>
  <si>
    <t>營業淨利 (損)</t>
    <phoneticPr fontId="1" type="noConversion"/>
  </si>
  <si>
    <t>營業外收入及支出</t>
    <phoneticPr fontId="1" type="noConversion"/>
  </si>
  <si>
    <t>稅前淨利 (損)</t>
    <phoneticPr fontId="1" type="noConversion"/>
  </si>
  <si>
    <t>所得稅利益 (費用)</t>
    <phoneticPr fontId="1" type="noConversion"/>
  </si>
  <si>
    <t>本期淨利 (損)</t>
    <phoneticPr fontId="1" type="noConversion"/>
  </si>
  <si>
    <t>2016年</t>
    <phoneticPr fontId="1" type="noConversion"/>
  </si>
  <si>
    <t>2017年第一季</t>
    <phoneticPr fontId="1" type="noConversion"/>
  </si>
  <si>
    <t>2017年第一季</t>
    <phoneticPr fontId="1" type="noConversion"/>
  </si>
  <si>
    <t>　處分持有至到期日金融資產</t>
    <phoneticPr fontId="1" type="noConversion"/>
  </si>
  <si>
    <t>2017年第二季</t>
    <phoneticPr fontId="1" type="noConversion"/>
  </si>
  <si>
    <t>2017年第二季</t>
    <phoneticPr fontId="1" type="noConversion"/>
  </si>
  <si>
    <t>2017年第三季</t>
    <phoneticPr fontId="1" type="noConversion"/>
  </si>
  <si>
    <t>2017年第三季</t>
    <phoneticPr fontId="1" type="noConversion"/>
  </si>
  <si>
    <t>2017年</t>
    <phoneticPr fontId="1" type="noConversion"/>
  </si>
  <si>
    <t>2017年第四季</t>
    <phoneticPr fontId="1" type="noConversion"/>
  </si>
  <si>
    <t xml:space="preserve">      長期投資(含權益法之投資)</t>
    <phoneticPr fontId="1" type="noConversion"/>
  </si>
  <si>
    <t>2017年第四季</t>
    <phoneticPr fontId="1" type="noConversion"/>
  </si>
  <si>
    <t>2017年全年</t>
    <phoneticPr fontId="1" type="noConversion"/>
  </si>
  <si>
    <t>　收取之利息</t>
    <phoneticPr fontId="1" type="noConversion"/>
  </si>
  <si>
    <t>2018年第一季</t>
    <phoneticPr fontId="1" type="noConversion"/>
  </si>
  <si>
    <t>2018年第一季</t>
    <phoneticPr fontId="1" type="noConversion"/>
  </si>
  <si>
    <t xml:space="preserve">        預期信用減損損失</t>
    <phoneticPr fontId="1" type="noConversion"/>
  </si>
  <si>
    <t xml:space="preserve">            預期信用減損損失</t>
    <phoneticPr fontId="1" type="noConversion"/>
  </si>
  <si>
    <t xml:space="preserve">    處分按攤銷後成本衡量之金融資產</t>
    <phoneticPr fontId="1" type="noConversion"/>
  </si>
  <si>
    <t>2018年第二季</t>
    <phoneticPr fontId="1" type="noConversion"/>
  </si>
  <si>
    <t>2018年第二季</t>
    <phoneticPr fontId="1" type="noConversion"/>
  </si>
  <si>
    <t>2018年第三季</t>
    <phoneticPr fontId="1" type="noConversion"/>
  </si>
  <si>
    <t>2018年第三季</t>
    <phoneticPr fontId="1" type="noConversion"/>
  </si>
  <si>
    <t>2018年</t>
    <phoneticPr fontId="1" type="noConversion"/>
  </si>
  <si>
    <t>2018年第四季</t>
    <phoneticPr fontId="1" type="noConversion"/>
  </si>
  <si>
    <t>2018年全年</t>
    <phoneticPr fontId="1" type="noConversion"/>
  </si>
  <si>
    <t>2018年第四季</t>
    <phoneticPr fontId="1" type="noConversion"/>
  </si>
  <si>
    <t xml:space="preserve">      長期投資</t>
    <phoneticPr fontId="1" type="noConversion"/>
  </si>
  <si>
    <t xml:space="preserve">      非流動負債</t>
    <phoneticPr fontId="1" type="noConversion"/>
  </si>
  <si>
    <t xml:space="preserve">      應收帳款(淨額)週轉天數</t>
    <phoneticPr fontId="1" type="noConversion"/>
  </si>
  <si>
    <t xml:space="preserve">      存貨(淨額)週轉天數</t>
    <phoneticPr fontId="1" type="noConversion"/>
  </si>
  <si>
    <t>Revenue(Net Sales)</t>
    <phoneticPr fontId="1" type="noConversion"/>
  </si>
  <si>
    <t>A/R(Gross)</t>
    <phoneticPr fontId="1" type="noConversion"/>
  </si>
  <si>
    <t>A/R(Net)</t>
    <phoneticPr fontId="1" type="noConversion"/>
  </si>
  <si>
    <t>Days of the Quarter</t>
    <phoneticPr fontId="1" type="noConversion"/>
  </si>
  <si>
    <t>A/R Turnover Days(Gross)</t>
    <phoneticPr fontId="1" type="noConversion"/>
  </si>
  <si>
    <t>A/R Turnover Days(Net)</t>
    <phoneticPr fontId="1" type="noConversion"/>
  </si>
  <si>
    <t>Inventory(net)</t>
    <phoneticPr fontId="1" type="noConversion"/>
  </si>
  <si>
    <t xml:space="preserve">Inventory Turnover Days (Gross) </t>
    <phoneticPr fontId="1" type="noConversion"/>
  </si>
  <si>
    <t>Inventory Turnover Days (net)</t>
    <phoneticPr fontId="1" type="noConversion"/>
  </si>
  <si>
    <t>Current Ratio</t>
    <phoneticPr fontId="1" type="noConversion"/>
  </si>
  <si>
    <t>A/P</t>
    <phoneticPr fontId="1" type="noConversion"/>
  </si>
  <si>
    <t>A/P Turnover Days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</si>
</sst>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0_);[Red]\(0\)"/>
    <numFmt numFmtId="179" formatCode="0.0_);[Red]\(0.0\)"/>
    <numFmt numFmtId="180" formatCode="#,##0_);[Red]\(#,##0\)"/>
    <numFmt numFmtId="181" formatCode="_-* #,##0.0_-;\-* #,##0.0_-;_-* &quot;-&quot;??_-;_-@_-"/>
    <numFmt numFmtId="182" formatCode="#,##0_);\(#,##0\)"/>
    <numFmt numFmtId="183" formatCode="###0%;[Red]\-###0%"/>
    <numFmt numFmtId="184" formatCode="0.0%"/>
    <numFmt numFmtId="185" formatCode="#,##0.00_);\(#,##0.00\)"/>
  </numFmts>
  <fonts count="24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Calibri"/>
      <family val="2"/>
    </font>
    <font>
      <i/>
      <sz val="9"/>
      <color rgb="FF237763"/>
      <name val="微軟正黑體"/>
      <family val="2"/>
      <charset val="136"/>
    </font>
    <font>
      <i/>
      <sz val="9"/>
      <name val="微軟正黑體"/>
      <family val="2"/>
      <charset val="136"/>
    </font>
    <font>
      <sz val="12"/>
      <name val="新細明體"/>
      <family val="1"/>
      <charset val="136"/>
    </font>
    <font>
      <b/>
      <sz val="9"/>
      <color indexed="8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0" fontId="7" fillId="0" borderId="0"/>
    <xf numFmtId="0" fontId="18" fillId="0" borderId="0">
      <alignment vertical="center"/>
    </xf>
    <xf numFmtId="0" fontId="8" fillId="0" borderId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3" fillId="0" borderId="2" xfId="0" applyFont="1" applyFill="1" applyBorder="1">
      <alignment vertical="center"/>
    </xf>
    <xf numFmtId="9" fontId="3" fillId="0" borderId="2" xfId="0" applyNumberFormat="1" applyFont="1" applyFill="1" applyBorder="1">
      <alignment vertical="center"/>
    </xf>
    <xf numFmtId="182" fontId="3" fillId="0" borderId="2" xfId="5" applyNumberFormat="1" applyFont="1" applyFill="1" applyBorder="1">
      <alignment vertical="center"/>
    </xf>
    <xf numFmtId="9" fontId="3" fillId="0" borderId="2" xfId="6" applyNumberFormat="1" applyFont="1" applyFill="1" applyBorder="1">
      <alignment vertical="center"/>
    </xf>
    <xf numFmtId="177" fontId="3" fillId="0" borderId="2" xfId="5" applyNumberFormat="1" applyFont="1" applyFill="1" applyBorder="1">
      <alignment vertical="center"/>
    </xf>
    <xf numFmtId="9" fontId="3" fillId="0" borderId="2" xfId="5" applyNumberFormat="1" applyFont="1" applyFill="1" applyBorder="1">
      <alignment vertical="center"/>
    </xf>
    <xf numFmtId="182" fontId="3" fillId="0" borderId="3" xfId="5" applyNumberFormat="1" applyFont="1" applyFill="1" applyBorder="1">
      <alignment vertical="center"/>
    </xf>
    <xf numFmtId="177" fontId="3" fillId="0" borderId="3" xfId="5" applyNumberFormat="1" applyFont="1" applyFill="1" applyBorder="1">
      <alignment vertical="center"/>
    </xf>
    <xf numFmtId="182" fontId="3" fillId="0" borderId="4" xfId="5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177" fontId="3" fillId="0" borderId="4" xfId="5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176" fontId="5" fillId="2" borderId="2" xfId="5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176" fontId="5" fillId="2" borderId="5" xfId="5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180" fontId="3" fillId="2" borderId="7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5" fillId="2" borderId="0" xfId="5" applyNumberFormat="1" applyFont="1" applyFill="1" applyBorder="1">
      <alignment vertical="center"/>
    </xf>
    <xf numFmtId="176" fontId="6" fillId="2" borderId="0" xfId="5" applyNumberFormat="1" applyFont="1" applyFill="1" applyBorder="1">
      <alignment vertical="center"/>
    </xf>
    <xf numFmtId="9" fontId="19" fillId="0" borderId="2" xfId="6" applyNumberFormat="1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5" fillId="2" borderId="6" xfId="5" applyNumberFormat="1" applyFont="1" applyFill="1" applyBorder="1">
      <alignment vertical="center"/>
    </xf>
    <xf numFmtId="176" fontId="5" fillId="2" borderId="0" xfId="5" applyNumberFormat="1" applyFont="1" applyFill="1" applyBorder="1" applyAlignment="1">
      <alignment horizontal="right" vertical="center"/>
    </xf>
    <xf numFmtId="181" fontId="5" fillId="2" borderId="0" xfId="5" applyNumberFormat="1" applyFont="1" applyFill="1" applyBorder="1" applyAlignment="1">
      <alignment horizontal="right" vertical="center"/>
    </xf>
    <xf numFmtId="176" fontId="5" fillId="2" borderId="8" xfId="5" applyNumberFormat="1" applyFont="1" applyFill="1" applyBorder="1">
      <alignment vertical="center"/>
    </xf>
    <xf numFmtId="176" fontId="5" fillId="2" borderId="7" xfId="5" applyNumberFormat="1" applyFont="1" applyFill="1" applyBorder="1">
      <alignment vertical="center"/>
    </xf>
    <xf numFmtId="176" fontId="5" fillId="2" borderId="9" xfId="5" applyNumberFormat="1" applyFont="1" applyFill="1" applyBorder="1">
      <alignment vertical="center"/>
    </xf>
    <xf numFmtId="176" fontId="5" fillId="2" borderId="10" xfId="5" applyNumberFormat="1" applyFont="1" applyFill="1" applyBorder="1">
      <alignment vertical="center"/>
    </xf>
    <xf numFmtId="176" fontId="6" fillId="2" borderId="11" xfId="5" applyNumberFormat="1" applyFont="1" applyFill="1" applyBorder="1">
      <alignment vertical="center"/>
    </xf>
    <xf numFmtId="176" fontId="5" fillId="2" borderId="12" xfId="5" applyNumberFormat="1" applyFont="1" applyFill="1" applyBorder="1">
      <alignment vertical="center"/>
    </xf>
    <xf numFmtId="176" fontId="6" fillId="2" borderId="13" xfId="5" applyNumberFormat="1" applyFont="1" applyFill="1" applyBorder="1">
      <alignment vertical="center"/>
    </xf>
    <xf numFmtId="176" fontId="5" fillId="2" borderId="6" xfId="0" applyNumberFormat="1" applyFont="1" applyFill="1" applyBorder="1">
      <alignment vertical="center"/>
    </xf>
    <xf numFmtId="178" fontId="5" fillId="2" borderId="7" xfId="5" applyNumberFormat="1" applyFont="1" applyFill="1" applyBorder="1" applyAlignment="1">
      <alignment horizontal="right" vertical="center"/>
    </xf>
    <xf numFmtId="179" fontId="5" fillId="2" borderId="7" xfId="5" applyNumberFormat="1" applyFont="1" applyFill="1" applyBorder="1" applyAlignment="1">
      <alignment horizontal="right" vertical="center"/>
    </xf>
    <xf numFmtId="176" fontId="5" fillId="2" borderId="6" xfId="5" applyNumberFormat="1" applyFont="1" applyFill="1" applyBorder="1" applyAlignment="1">
      <alignment horizontal="right" vertical="center"/>
    </xf>
    <xf numFmtId="181" fontId="5" fillId="2" borderId="6" xfId="5" applyNumberFormat="1" applyFont="1" applyFill="1" applyBorder="1" applyAlignment="1">
      <alignment horizontal="right" vertical="center"/>
    </xf>
    <xf numFmtId="176" fontId="6" fillId="2" borderId="14" xfId="5" applyNumberFormat="1" applyFont="1" applyFill="1" applyBorder="1">
      <alignment vertical="center"/>
    </xf>
    <xf numFmtId="176" fontId="5" fillId="2" borderId="7" xfId="0" applyNumberFormat="1" applyFont="1" applyFill="1" applyBorder="1">
      <alignment vertical="center"/>
    </xf>
    <xf numFmtId="176" fontId="5" fillId="2" borderId="7" xfId="5" applyNumberFormat="1" applyFont="1" applyFill="1" applyBorder="1" applyAlignment="1">
      <alignment horizontal="right" vertical="center"/>
    </xf>
    <xf numFmtId="181" fontId="5" fillId="2" borderId="7" xfId="5" applyNumberFormat="1" applyFont="1" applyFill="1" applyBorder="1" applyAlignment="1">
      <alignment horizontal="right" vertical="center"/>
    </xf>
    <xf numFmtId="176" fontId="6" fillId="2" borderId="1" xfId="5" applyNumberFormat="1" applyFont="1" applyFill="1" applyBorder="1">
      <alignment vertical="center"/>
    </xf>
    <xf numFmtId="179" fontId="5" fillId="2" borderId="6" xfId="5" applyNumberFormat="1" applyFont="1" applyFill="1" applyBorder="1" applyAlignment="1">
      <alignment horizontal="right" vertical="center"/>
    </xf>
    <xf numFmtId="178" fontId="5" fillId="2" borderId="0" xfId="5" applyNumberFormat="1" applyFont="1" applyFill="1" applyBorder="1" applyAlignment="1">
      <alignment horizontal="right" vertical="center"/>
    </xf>
    <xf numFmtId="179" fontId="5" fillId="2" borderId="0" xfId="5" applyNumberFormat="1" applyFont="1" applyFill="1" applyBorder="1" applyAlignment="1">
      <alignment horizontal="right" vertical="center"/>
    </xf>
    <xf numFmtId="0" fontId="20" fillId="0" borderId="2" xfId="0" applyFont="1" applyFill="1" applyBorder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/>
    <xf numFmtId="0" fontId="11" fillId="2" borderId="7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20" fillId="0" borderId="7" xfId="0" applyFont="1" applyFill="1" applyBorder="1">
      <alignment vertical="center"/>
    </xf>
    <xf numFmtId="31" fontId="12" fillId="2" borderId="15" xfId="0" applyNumberFormat="1" applyFont="1" applyFill="1" applyBorder="1" applyAlignment="1">
      <alignment horizontal="center" vertical="center"/>
    </xf>
    <xf numFmtId="176" fontId="11" fillId="2" borderId="2" xfId="5" applyNumberFormat="1" applyFont="1" applyFill="1" applyBorder="1">
      <alignment vertical="center"/>
    </xf>
    <xf numFmtId="176" fontId="12" fillId="2" borderId="2" xfId="5" applyNumberFormat="1" applyFont="1" applyFill="1" applyBorder="1">
      <alignment vertical="center"/>
    </xf>
    <xf numFmtId="37" fontId="13" fillId="0" borderId="2" xfId="4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37" fontId="14" fillId="0" borderId="2" xfId="4" applyNumberFormat="1" applyFont="1" applyFill="1" applyBorder="1" applyAlignment="1" applyProtection="1">
      <alignment horizontal="left" vertical="center"/>
    </xf>
    <xf numFmtId="0" fontId="14" fillId="0" borderId="2" xfId="4" applyFont="1" applyFill="1" applyBorder="1" applyAlignment="1">
      <alignment vertical="center"/>
    </xf>
    <xf numFmtId="182" fontId="4" fillId="0" borderId="16" xfId="5" applyNumberFormat="1" applyFont="1" applyFill="1" applyBorder="1">
      <alignment vertical="center"/>
    </xf>
    <xf numFmtId="182" fontId="3" fillId="0" borderId="17" xfId="5" applyNumberFormat="1" applyFont="1" applyFill="1" applyBorder="1">
      <alignment vertical="center"/>
    </xf>
    <xf numFmtId="182" fontId="4" fillId="0" borderId="18" xfId="5" applyNumberFormat="1" applyFont="1" applyFill="1" applyBorder="1">
      <alignment vertical="center"/>
    </xf>
    <xf numFmtId="176" fontId="6" fillId="2" borderId="5" xfId="5" applyNumberFormat="1" applyFont="1" applyFill="1" applyBorder="1">
      <alignment vertical="center"/>
    </xf>
    <xf numFmtId="9" fontId="3" fillId="0" borderId="2" xfId="6" applyFont="1" applyFill="1" applyBorder="1">
      <alignment vertical="center"/>
    </xf>
    <xf numFmtId="9" fontId="19" fillId="0" borderId="2" xfId="6" applyFont="1" applyFill="1" applyBorder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82" fontId="4" fillId="0" borderId="20" xfId="5" applyNumberFormat="1" applyFont="1" applyFill="1" applyBorder="1">
      <alignment vertical="center"/>
    </xf>
    <xf numFmtId="0" fontId="12" fillId="2" borderId="19" xfId="0" applyFont="1" applyFill="1" applyBorder="1" applyAlignment="1">
      <alignment horizontal="center" vertical="center"/>
    </xf>
    <xf numFmtId="182" fontId="3" fillId="0" borderId="21" xfId="5" applyNumberFormat="1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183" fontId="3" fillId="0" borderId="3" xfId="6" applyNumberFormat="1" applyFont="1" applyFill="1" applyBorder="1">
      <alignment vertical="center"/>
    </xf>
    <xf numFmtId="183" fontId="3" fillId="0" borderId="3" xfId="6" applyNumberFormat="1" applyFont="1" applyFill="1" applyBorder="1" applyAlignment="1">
      <alignment horizontal="right" vertical="center"/>
    </xf>
    <xf numFmtId="178" fontId="5" fillId="3" borderId="7" xfId="5" applyNumberFormat="1" applyFont="1" applyFill="1" applyBorder="1" applyAlignment="1">
      <alignment horizontal="right" vertical="center"/>
    </xf>
    <xf numFmtId="182" fontId="3" fillId="3" borderId="3" xfId="5" applyNumberFormat="1" applyFont="1" applyFill="1" applyBorder="1">
      <alignment vertical="center"/>
    </xf>
    <xf numFmtId="182" fontId="3" fillId="3" borderId="4" xfId="5" applyNumberFormat="1" applyFont="1" applyFill="1" applyBorder="1">
      <alignment vertical="center"/>
    </xf>
    <xf numFmtId="177" fontId="3" fillId="3" borderId="4" xfId="5" applyNumberFormat="1" applyFont="1" applyFill="1" applyBorder="1">
      <alignment vertical="center"/>
    </xf>
    <xf numFmtId="176" fontId="10" fillId="2" borderId="2" xfId="5" applyNumberFormat="1" applyFont="1" applyFill="1" applyBorder="1">
      <alignment vertical="center"/>
    </xf>
    <xf numFmtId="176" fontId="9" fillId="2" borderId="2" xfId="5" applyNumberFormat="1" applyFont="1" applyFill="1" applyBorder="1">
      <alignment vertical="center"/>
    </xf>
    <xf numFmtId="0" fontId="10" fillId="2" borderId="0" xfId="0" applyFont="1" applyFill="1">
      <alignment vertical="center"/>
    </xf>
    <xf numFmtId="176" fontId="3" fillId="2" borderId="2" xfId="5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184" fontId="3" fillId="0" borderId="2" xfId="0" applyNumberFormat="1" applyFont="1" applyFill="1" applyBorder="1">
      <alignment vertical="center"/>
    </xf>
    <xf numFmtId="9" fontId="3" fillId="3" borderId="2" xfId="6" applyFont="1" applyFill="1" applyBorder="1">
      <alignment vertical="center"/>
    </xf>
    <xf numFmtId="176" fontId="5" fillId="0" borderId="6" xfId="5" applyNumberFormat="1" applyFont="1" applyFill="1" applyBorder="1">
      <alignment vertical="center"/>
    </xf>
    <xf numFmtId="182" fontId="3" fillId="3" borderId="2" xfId="5" applyNumberFormat="1" applyFont="1" applyFill="1" applyBorder="1">
      <alignment vertical="center"/>
    </xf>
    <xf numFmtId="182" fontId="4" fillId="3" borderId="16" xfId="5" applyNumberFormat="1" applyFont="1" applyFill="1" applyBorder="1">
      <alignment vertical="center"/>
    </xf>
    <xf numFmtId="182" fontId="3" fillId="0" borderId="24" xfId="5" applyNumberFormat="1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185" fontId="3" fillId="0" borderId="4" xfId="5" applyNumberFormat="1" applyFont="1" applyFill="1" applyBorder="1">
      <alignment vertical="center"/>
    </xf>
    <xf numFmtId="183" fontId="3" fillId="0" borderId="3" xfId="6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3" fillId="0" borderId="2" xfId="6" applyFont="1" applyFill="1" applyBorder="1" applyAlignment="1">
      <alignment horizontal="center" vertical="center"/>
    </xf>
    <xf numFmtId="9" fontId="3" fillId="0" borderId="2" xfId="6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0" fontId="22" fillId="0" borderId="2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10" fillId="2" borderId="2" xfId="5" applyNumberFormat="1" applyFont="1" applyFill="1" applyBorder="1">
      <alignment vertical="center"/>
    </xf>
    <xf numFmtId="0" fontId="10" fillId="2" borderId="7" xfId="0" applyFont="1" applyFill="1" applyBorder="1">
      <alignment vertical="center"/>
    </xf>
    <xf numFmtId="185" fontId="3" fillId="3" borderId="4" xfId="5" applyNumberFormat="1" applyFont="1" applyFill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9" fontId="19" fillId="0" borderId="2" xfId="6" applyFont="1" applyFill="1" applyBorder="1" applyAlignment="1">
      <alignment horizontal="center" vertical="center"/>
    </xf>
    <xf numFmtId="176" fontId="11" fillId="0" borderId="2" xfId="5" applyNumberFormat="1" applyFont="1" applyFill="1" applyBorder="1">
      <alignment vertical="center"/>
    </xf>
    <xf numFmtId="176" fontId="11" fillId="3" borderId="2" xfId="5" applyNumberFormat="1" applyFont="1" applyFill="1" applyBorder="1">
      <alignment vertical="center"/>
    </xf>
    <xf numFmtId="0" fontId="10" fillId="3" borderId="2" xfId="0" applyFont="1" applyFill="1" applyBorder="1" applyAlignment="1">
      <alignment vertical="center"/>
    </xf>
    <xf numFmtId="176" fontId="5" fillId="4" borderId="6" xfId="5" applyNumberFormat="1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</cellXfs>
  <cellStyles count="9">
    <cellStyle name="一般" xfId="0" builtinId="0"/>
    <cellStyle name="一般 11" xfId="1"/>
    <cellStyle name="一般 2" xfId="2"/>
    <cellStyle name="一般 2 2 3" xfId="3"/>
    <cellStyle name="一般_CF" xfId="4"/>
    <cellStyle name="千分位" xfId="5" builtinId="3"/>
    <cellStyle name="百分比" xfId="6" builtinId="5"/>
    <cellStyle name="貨幣 2 2" xfId="7"/>
    <cellStyle name="貨幣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34</xdr:col>
      <xdr:colOff>200025</xdr:colOff>
      <xdr:row>1</xdr:row>
      <xdr:rowOff>57150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07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22227</xdr:rowOff>
    </xdr:from>
    <xdr:to>
      <xdr:col>13</xdr:col>
      <xdr:colOff>152400</xdr:colOff>
      <xdr:row>1</xdr:row>
      <xdr:rowOff>76444</xdr:rowOff>
    </xdr:to>
    <xdr:sp macro="" textlink="">
      <xdr:nvSpPr>
        <xdr:cNvPr id="3" name="文字方塊 2"/>
        <xdr:cNvSpPr txBox="1"/>
      </xdr:nvSpPr>
      <xdr:spPr>
        <a:xfrm>
          <a:off x="0" y="22227"/>
          <a:ext cx="5918200" cy="270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>
              <a:solidFill>
                <a:schemeClr val="bg1"/>
              </a:solidFill>
              <a:latin typeface="微軟正黑體" pitchFamily="34" charset="-120"/>
              <a:ea typeface="微軟正黑體" pitchFamily="34" charset="-120"/>
            </a:rPr>
            <a:t>簡明合併損益表</a:t>
          </a:r>
        </a:p>
      </xdr:txBody>
    </xdr:sp>
    <xdr:clientData/>
  </xdr:twoCellAnchor>
  <xdr:twoCellAnchor editAs="oneCell">
    <xdr:from>
      <xdr:col>0</xdr:col>
      <xdr:colOff>47625</xdr:colOff>
      <xdr:row>1</xdr:row>
      <xdr:rowOff>85725</xdr:rowOff>
    </xdr:from>
    <xdr:to>
      <xdr:col>0</xdr:col>
      <xdr:colOff>1047750</xdr:colOff>
      <xdr:row>1</xdr:row>
      <xdr:rowOff>714375</xdr:rowOff>
    </xdr:to>
    <xdr:pic>
      <xdr:nvPicPr>
        <xdr:cNvPr id="4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16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190500</xdr:rowOff>
    </xdr:from>
    <xdr:to>
      <xdr:col>43</xdr:col>
      <xdr:colOff>523875</xdr:colOff>
      <xdr:row>24</xdr:row>
      <xdr:rowOff>38100</xdr:rowOff>
    </xdr:to>
    <xdr:pic>
      <xdr:nvPicPr>
        <xdr:cNvPr id="5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248888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79</xdr:col>
      <xdr:colOff>44450</xdr:colOff>
      <xdr:row>0</xdr:row>
      <xdr:rowOff>266700</xdr:rowOff>
    </xdr:to>
    <xdr:pic>
      <xdr:nvPicPr>
        <xdr:cNvPr id="2905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0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323850</xdr:rowOff>
    </xdr:from>
    <xdr:to>
      <xdr:col>0</xdr:col>
      <xdr:colOff>1057275</xdr:colOff>
      <xdr:row>0</xdr:row>
      <xdr:rowOff>952500</xdr:rowOff>
    </xdr:to>
    <xdr:pic>
      <xdr:nvPicPr>
        <xdr:cNvPr id="2906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88</xdr:col>
      <xdr:colOff>368300</xdr:colOff>
      <xdr:row>23</xdr:row>
      <xdr:rowOff>66675</xdr:rowOff>
    </xdr:to>
    <xdr:pic>
      <xdr:nvPicPr>
        <xdr:cNvPr id="2907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2709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3177</xdr:rowOff>
    </xdr:from>
    <xdr:to>
      <xdr:col>47</xdr:col>
      <xdr:colOff>0</xdr:colOff>
      <xdr:row>0</xdr:row>
      <xdr:rowOff>266944</xdr:rowOff>
    </xdr:to>
    <xdr:sp macro="" textlink="">
      <xdr:nvSpPr>
        <xdr:cNvPr id="5" name="文字方塊 4"/>
        <xdr:cNvSpPr txBox="1"/>
      </xdr:nvSpPr>
      <xdr:spPr>
        <a:xfrm>
          <a:off x="0" y="9527"/>
          <a:ext cx="7705725" cy="247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>
              <a:solidFill>
                <a:schemeClr val="bg1"/>
              </a:solidFill>
              <a:latin typeface="微軟正黑體" pitchFamily="34" charset="-120"/>
              <a:ea typeface="微軟正黑體" pitchFamily="34" charset="-120"/>
            </a:rPr>
            <a:t>簡明合併損益表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33</xdr:col>
      <xdr:colOff>15875</xdr:colOff>
      <xdr:row>0</xdr:row>
      <xdr:rowOff>266700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81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3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33</xdr:col>
      <xdr:colOff>615950</xdr:colOff>
      <xdr:row>50</xdr:row>
      <xdr:rowOff>66675</xdr:rowOff>
    </xdr:to>
    <xdr:pic>
      <xdr:nvPicPr>
        <xdr:cNvPr id="4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1942465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247650</xdr:rowOff>
    </xdr:to>
    <xdr:sp macro="" textlink="">
      <xdr:nvSpPr>
        <xdr:cNvPr id="5" name="文字方塊 4"/>
        <xdr:cNvSpPr txBox="1"/>
      </xdr:nvSpPr>
      <xdr:spPr>
        <a:xfrm>
          <a:off x="0" y="0"/>
          <a:ext cx="9137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99</xdr:col>
      <xdr:colOff>167005</xdr:colOff>
      <xdr:row>0</xdr:row>
      <xdr:rowOff>198120</xdr:rowOff>
    </xdr:to>
    <xdr:pic>
      <xdr:nvPicPr>
        <xdr:cNvPr id="3926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93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356235</xdr:rowOff>
    </xdr:to>
    <xdr:pic>
      <xdr:nvPicPr>
        <xdr:cNvPr id="3927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53</xdr:row>
      <xdr:rowOff>45720</xdr:rowOff>
    </xdr:from>
    <xdr:to>
      <xdr:col>100</xdr:col>
      <xdr:colOff>191770</xdr:colOff>
      <xdr:row>54</xdr:row>
      <xdr:rowOff>112395</xdr:rowOff>
    </xdr:to>
    <xdr:pic>
      <xdr:nvPicPr>
        <xdr:cNvPr id="3928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974080"/>
          <a:ext cx="1907413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51</xdr:col>
      <xdr:colOff>0</xdr:colOff>
      <xdr:row>0</xdr:row>
      <xdr:rowOff>247650</xdr:rowOff>
    </xdr:to>
    <xdr:sp macro="" textlink="">
      <xdr:nvSpPr>
        <xdr:cNvPr id="5" name="文字方塊 4"/>
        <xdr:cNvSpPr txBox="1"/>
      </xdr:nvSpPr>
      <xdr:spPr>
        <a:xfrm>
          <a:off x="0" y="0"/>
          <a:ext cx="70389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172</xdr:col>
      <xdr:colOff>418465</xdr:colOff>
      <xdr:row>1</xdr:row>
      <xdr:rowOff>7620</xdr:rowOff>
    </xdr:to>
    <xdr:pic>
      <xdr:nvPicPr>
        <xdr:cNvPr id="6" name="圖片 5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39725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1</xdr:row>
      <xdr:rowOff>5715</xdr:rowOff>
    </xdr:to>
    <xdr:pic>
      <xdr:nvPicPr>
        <xdr:cNvPr id="7" name="圖片 6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0025"/>
          <a:ext cx="1000125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173</xdr:col>
      <xdr:colOff>344170</xdr:colOff>
      <xdr:row>50</xdr:row>
      <xdr:rowOff>0</xdr:rowOff>
    </xdr:to>
    <xdr:pic>
      <xdr:nvPicPr>
        <xdr:cNvPr id="8" name="圖片 7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64382650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51</xdr:col>
      <xdr:colOff>0</xdr:colOff>
      <xdr:row>0</xdr:row>
      <xdr:rowOff>247650</xdr:rowOff>
    </xdr:to>
    <xdr:sp macro="" textlink="">
      <xdr:nvSpPr>
        <xdr:cNvPr id="9" name="文字方塊 8"/>
        <xdr:cNvSpPr txBox="1"/>
      </xdr:nvSpPr>
      <xdr:spPr>
        <a:xfrm>
          <a:off x="0" y="0"/>
          <a:ext cx="6019800" cy="19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4736" name="圖片 5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009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58</xdr:col>
      <xdr:colOff>377825</xdr:colOff>
      <xdr:row>0</xdr:row>
      <xdr:rowOff>266700</xdr:rowOff>
    </xdr:to>
    <xdr:pic>
      <xdr:nvPicPr>
        <xdr:cNvPr id="4737" name="圖片 4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247650</xdr:rowOff>
    </xdr:to>
    <xdr:sp macro="" textlink="">
      <xdr:nvSpPr>
        <xdr:cNvPr id="7" name="文字方塊 6"/>
        <xdr:cNvSpPr txBox="1"/>
      </xdr:nvSpPr>
      <xdr:spPr>
        <a:xfrm>
          <a:off x="0" y="0"/>
          <a:ext cx="7381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合併簡明現金流量變動表</a:t>
          </a:r>
          <a:endParaRPr lang="zh-TW" altLang="en-US" sz="1200" b="1">
            <a:solidFill>
              <a:schemeClr val="bg1"/>
            </a:solidFill>
            <a:latin typeface="微軟正黑體" pitchFamily="34" charset="-120"/>
            <a:ea typeface="微軟正黑體" pitchFamily="34" charset="-12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~1.HUA/AppData/Local/Temp/notesC9812B/4Q15(CH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簡明合併損益表"/>
      <sheetName val="季度簡明合併損益表"/>
      <sheetName val="年度簡明合併資產負債表"/>
      <sheetName val="季度簡明合併資產負債表"/>
      <sheetName val="簡明現金流量變動表"/>
    </sheetNames>
    <sheetDataSet>
      <sheetData sheetId="0"/>
      <sheetData sheetId="1">
        <row r="3">
          <cell r="B3">
            <v>1110908</v>
          </cell>
          <cell r="D3">
            <v>952310</v>
          </cell>
          <cell r="F3">
            <v>658485</v>
          </cell>
          <cell r="H3">
            <v>909890</v>
          </cell>
          <cell r="J3">
            <v>1126645</v>
          </cell>
          <cell r="L3">
            <v>1395830</v>
          </cell>
          <cell r="N3">
            <v>1016890</v>
          </cell>
          <cell r="P3">
            <v>1108030</v>
          </cell>
          <cell r="R3">
            <v>1280595</v>
          </cell>
          <cell r="T3">
            <v>1058707</v>
          </cell>
          <cell r="V3">
            <v>955183</v>
          </cell>
          <cell r="X3">
            <v>861099</v>
          </cell>
        </row>
        <row r="4">
          <cell r="B4">
            <v>-646306</v>
          </cell>
          <cell r="D4">
            <v>-547225</v>
          </cell>
          <cell r="F4">
            <v>-403323</v>
          </cell>
          <cell r="H4">
            <v>-530090</v>
          </cell>
          <cell r="J4">
            <v>-685726</v>
          </cell>
          <cell r="L4">
            <v>-798154</v>
          </cell>
          <cell r="N4">
            <v>-542663</v>
          </cell>
          <cell r="P4">
            <v>-558453</v>
          </cell>
          <cell r="R4">
            <v>-667492</v>
          </cell>
          <cell r="T4">
            <v>-617622</v>
          </cell>
          <cell r="V4">
            <v>-519202</v>
          </cell>
          <cell r="X4">
            <v>-473059</v>
          </cell>
        </row>
        <row r="5">
          <cell r="B5">
            <v>464602</v>
          </cell>
          <cell r="D5">
            <v>405085</v>
          </cell>
          <cell r="F5">
            <v>255162</v>
          </cell>
          <cell r="H5">
            <v>379800</v>
          </cell>
          <cell r="J5">
            <v>440919</v>
          </cell>
          <cell r="L5">
            <v>597676</v>
          </cell>
          <cell r="N5">
            <v>474227</v>
          </cell>
          <cell r="P5">
            <v>549577</v>
          </cell>
          <cell r="R5">
            <v>613103</v>
          </cell>
          <cell r="T5">
            <v>441085</v>
          </cell>
          <cell r="V5">
            <v>435981</v>
          </cell>
          <cell r="X5">
            <v>388040</v>
          </cell>
        </row>
        <row r="7">
          <cell r="B7">
            <v>-74961</v>
          </cell>
          <cell r="D7">
            <v>-73794</v>
          </cell>
          <cell r="F7">
            <v>-60269</v>
          </cell>
          <cell r="H7">
            <v>-65640</v>
          </cell>
          <cell r="J7">
            <v>-85182</v>
          </cell>
          <cell r="L7">
            <v>-104663</v>
          </cell>
          <cell r="N7">
            <v>-80635</v>
          </cell>
          <cell r="P7">
            <v>-87385</v>
          </cell>
          <cell r="R7">
            <v>-84610</v>
          </cell>
          <cell r="T7">
            <v>-62863</v>
          </cell>
          <cell r="V7">
            <v>-38651</v>
          </cell>
          <cell r="X7">
            <v>-72188</v>
          </cell>
        </row>
        <row r="8">
          <cell r="B8">
            <v>-80371</v>
          </cell>
          <cell r="D8">
            <v>-66866</v>
          </cell>
          <cell r="F8">
            <v>-76032</v>
          </cell>
          <cell r="H8">
            <v>-71040</v>
          </cell>
          <cell r="J8">
            <v>-81377</v>
          </cell>
          <cell r="L8">
            <v>-78543</v>
          </cell>
          <cell r="N8">
            <v>-73340</v>
          </cell>
          <cell r="P8">
            <v>-89030</v>
          </cell>
          <cell r="R8">
            <v>-125653</v>
          </cell>
          <cell r="T8">
            <v>-100274</v>
          </cell>
          <cell r="V8">
            <v>-99303</v>
          </cell>
          <cell r="X8">
            <v>-77999</v>
          </cell>
        </row>
        <row r="9">
          <cell r="B9">
            <v>-307904</v>
          </cell>
          <cell r="D9">
            <v>-303392</v>
          </cell>
          <cell r="F9">
            <v>-286553</v>
          </cell>
          <cell r="H9">
            <v>-260953</v>
          </cell>
          <cell r="J9">
            <v>-272407</v>
          </cell>
          <cell r="L9">
            <v>-291762</v>
          </cell>
          <cell r="N9">
            <v>-278005</v>
          </cell>
          <cell r="P9">
            <v>-301629</v>
          </cell>
          <cell r="R9">
            <v>-333193</v>
          </cell>
          <cell r="T9">
            <v>-290603</v>
          </cell>
          <cell r="V9">
            <v>-265858</v>
          </cell>
          <cell r="X9">
            <v>-306809</v>
          </cell>
        </row>
        <row r="10">
          <cell r="B10">
            <v>-463236</v>
          </cell>
          <cell r="D10">
            <v>-444052</v>
          </cell>
          <cell r="F10">
            <v>-422854</v>
          </cell>
          <cell r="H10">
            <v>-397633</v>
          </cell>
          <cell r="J10">
            <v>-438966</v>
          </cell>
          <cell r="L10">
            <v>-474968</v>
          </cell>
          <cell r="N10">
            <v>-431980</v>
          </cell>
          <cell r="P10">
            <v>-478044</v>
          </cell>
          <cell r="R10">
            <v>-543456</v>
          </cell>
          <cell r="T10">
            <v>-453740</v>
          </cell>
          <cell r="V10">
            <v>-403812</v>
          </cell>
          <cell r="X10">
            <v>-456996</v>
          </cell>
        </row>
        <row r="11">
          <cell r="B11">
            <v>1366</v>
          </cell>
          <cell r="D11">
            <v>-38967</v>
          </cell>
          <cell r="F11">
            <v>-167692</v>
          </cell>
          <cell r="H11">
            <v>-17833</v>
          </cell>
          <cell r="J11">
            <v>1953</v>
          </cell>
          <cell r="L11">
            <v>122708</v>
          </cell>
          <cell r="N11">
            <v>42247</v>
          </cell>
          <cell r="P11">
            <v>71533</v>
          </cell>
          <cell r="R11">
            <v>69647</v>
          </cell>
          <cell r="T11">
            <v>-12655</v>
          </cell>
          <cell r="V11">
            <v>32169</v>
          </cell>
          <cell r="X11">
            <v>-68956</v>
          </cell>
        </row>
        <row r="12">
          <cell r="B12">
            <v>24965</v>
          </cell>
          <cell r="D12">
            <v>73336</v>
          </cell>
          <cell r="F12">
            <v>11088</v>
          </cell>
          <cell r="H12">
            <v>23393</v>
          </cell>
          <cell r="J12">
            <v>34982</v>
          </cell>
          <cell r="L12">
            <v>11432</v>
          </cell>
          <cell r="N12">
            <v>6343</v>
          </cell>
          <cell r="P12">
            <v>21458</v>
          </cell>
          <cell r="R12">
            <v>26054</v>
          </cell>
          <cell r="T12">
            <v>8273</v>
          </cell>
          <cell r="V12">
            <v>920731</v>
          </cell>
          <cell r="X12">
            <v>28391</v>
          </cell>
        </row>
        <row r="13">
          <cell r="B13">
            <v>26331</v>
          </cell>
          <cell r="D13">
            <v>34369</v>
          </cell>
          <cell r="F13">
            <v>-156604</v>
          </cell>
          <cell r="H13">
            <v>5560</v>
          </cell>
          <cell r="J13">
            <v>36935</v>
          </cell>
          <cell r="L13">
            <v>134140</v>
          </cell>
          <cell r="N13">
            <v>48590</v>
          </cell>
          <cell r="P13">
            <v>92991</v>
          </cell>
          <cell r="R13">
            <v>95701</v>
          </cell>
          <cell r="T13">
            <v>-4382</v>
          </cell>
          <cell r="V13">
            <v>952900</v>
          </cell>
          <cell r="X13">
            <v>-40565</v>
          </cell>
        </row>
        <row r="14">
          <cell r="B14">
            <v>-8500</v>
          </cell>
          <cell r="D14">
            <v>-3324</v>
          </cell>
          <cell r="F14">
            <v>21197</v>
          </cell>
          <cell r="H14">
            <v>-4937</v>
          </cell>
          <cell r="J14">
            <v>-964</v>
          </cell>
          <cell r="L14">
            <v>-21890</v>
          </cell>
          <cell r="N14">
            <v>-14910</v>
          </cell>
          <cell r="P14">
            <v>-10242</v>
          </cell>
          <cell r="R14">
            <v>-29406</v>
          </cell>
          <cell r="T14">
            <v>-39619</v>
          </cell>
          <cell r="V14">
            <v>-36179</v>
          </cell>
          <cell r="X14">
            <v>-7662</v>
          </cell>
        </row>
        <row r="15">
          <cell r="B15">
            <v>17831</v>
          </cell>
          <cell r="D15">
            <v>31045</v>
          </cell>
          <cell r="F15">
            <v>-135407</v>
          </cell>
          <cell r="H15">
            <v>623</v>
          </cell>
          <cell r="J15">
            <v>35971</v>
          </cell>
          <cell r="L15">
            <v>112250</v>
          </cell>
          <cell r="N15">
            <v>33680</v>
          </cell>
          <cell r="P15">
            <v>82749</v>
          </cell>
          <cell r="R15">
            <v>66295</v>
          </cell>
          <cell r="T15">
            <v>-44001</v>
          </cell>
          <cell r="V15">
            <v>916721</v>
          </cell>
          <cell r="X15">
            <v>-48227</v>
          </cell>
        </row>
        <row r="18">
          <cell r="B18">
            <v>0.06</v>
          </cell>
          <cell r="D18">
            <v>0.11</v>
          </cell>
          <cell r="F18">
            <v>-0.46</v>
          </cell>
          <cell r="H18">
            <v>0</v>
          </cell>
          <cell r="J18">
            <v>0.12</v>
          </cell>
          <cell r="L18">
            <v>0.38</v>
          </cell>
          <cell r="N18">
            <v>0.12</v>
          </cell>
          <cell r="P18">
            <v>0.28000000000000003</v>
          </cell>
          <cell r="R18">
            <v>0.23</v>
          </cell>
          <cell r="T18">
            <v>-0.15</v>
          </cell>
          <cell r="V18">
            <v>3.13</v>
          </cell>
          <cell r="X18">
            <v>-0.16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workbookViewId="0">
      <selection activeCell="R15" sqref="R15"/>
    </sheetView>
  </sheetViews>
  <sheetFormatPr defaultColWidth="9" defaultRowHeight="16.5"/>
  <cols>
    <col min="1" max="1" width="26.375" style="102" bestFit="1" customWidth="1"/>
    <col min="2" max="2" width="19.625" style="102" customWidth="1"/>
    <col min="3" max="3" width="7.875" style="103" customWidth="1"/>
    <col min="4" max="4" width="19.625" style="102" customWidth="1"/>
    <col min="5" max="5" width="6.125" style="103" bestFit="1" customWidth="1"/>
    <col min="6" max="6" width="11.375" style="102" hidden="1" customWidth="1"/>
    <col min="7" max="7" width="6.125" style="103" hidden="1" customWidth="1"/>
    <col min="8" max="8" width="11.375" style="102" hidden="1" customWidth="1"/>
    <col min="9" max="9" width="6.125" style="103" hidden="1" customWidth="1"/>
    <col min="10" max="10" width="11.375" style="102" hidden="1" customWidth="1"/>
    <col min="11" max="11" width="6.125" style="103" hidden="1" customWidth="1"/>
    <col min="12" max="12" width="11.375" style="102" hidden="1" customWidth="1"/>
    <col min="13" max="13" width="6.125" style="103" hidden="1" customWidth="1"/>
    <col min="14" max="14" width="8.125" style="103" bestFit="1" customWidth="1"/>
    <col min="15" max="16384" width="9" style="102"/>
  </cols>
  <sheetData>
    <row r="2" spans="1:14" ht="57" customHeight="1"/>
    <row r="4" spans="1:14" ht="17.25" thickBot="1">
      <c r="A4" s="101" t="s">
        <v>146</v>
      </c>
      <c r="B4" s="114" t="s">
        <v>178</v>
      </c>
      <c r="C4" s="115"/>
      <c r="D4" s="114" t="s">
        <v>163</v>
      </c>
      <c r="E4" s="115"/>
      <c r="F4" s="114" t="s">
        <v>155</v>
      </c>
      <c r="G4" s="115"/>
      <c r="H4" s="114" t="s">
        <v>147</v>
      </c>
      <c r="I4" s="115"/>
      <c r="J4" s="114" t="s">
        <v>148</v>
      </c>
      <c r="K4" s="115"/>
      <c r="L4" s="114">
        <v>2013</v>
      </c>
      <c r="M4" s="115"/>
      <c r="N4" s="107" t="s">
        <v>149</v>
      </c>
    </row>
    <row r="5" spans="1:14">
      <c r="A5" s="51" t="s">
        <v>8</v>
      </c>
      <c r="B5" s="3">
        <f>季度簡明合併損益表!B3+季度簡明合併損益表!D3+季度簡明合併損益表!F3+季度簡明合併損益表!H3</f>
        <v>2412587</v>
      </c>
      <c r="C5" s="98">
        <f>B5/B5</f>
        <v>1</v>
      </c>
      <c r="D5" s="3">
        <f>季度簡明合併損益表!P3+季度簡明合併損益表!N3+季度簡明合併損益表!L3+季度簡明合併損益表!J3</f>
        <v>3187062</v>
      </c>
      <c r="E5" s="98">
        <f>D5/D5</f>
        <v>1</v>
      </c>
      <c r="F5" s="3">
        <f>季度簡明合併損益表!R3+季度簡明合併損益表!T3+季度簡明合併損益表!V3+季度簡明合併損益表!X3</f>
        <v>3400744</v>
      </c>
      <c r="G5" s="98">
        <f>F5/F5</f>
        <v>1</v>
      </c>
      <c r="H5" s="3">
        <f>SUM([1]季度簡明合併損益表!B3,[1]季度簡明合併損益表!D3,[1]季度簡明合併損益表!F3,[1]季度簡明合併損益表!H3)</f>
        <v>3631593</v>
      </c>
      <c r="I5" s="98">
        <f>H5/H5</f>
        <v>1</v>
      </c>
      <c r="J5" s="3">
        <f>SUM([1]季度簡明合併損益表!J3,[1]季度簡明合併損益表!L3,[1]季度簡明合併損益表!N3,[1]季度簡明合併損益表!P3)</f>
        <v>4647395</v>
      </c>
      <c r="K5" s="98">
        <f>J5/J5</f>
        <v>1</v>
      </c>
      <c r="L5" s="3">
        <f>SUM([1]季度簡明合併損益表!R3,[1]季度簡明合併損益表!T3,[1]季度簡明合併損益表!V3,[1]季度簡明合併損益表!X3)</f>
        <v>4155584</v>
      </c>
      <c r="M5" s="98">
        <f>L5/L5</f>
        <v>1</v>
      </c>
      <c r="N5" s="96">
        <f>B5/D5-1</f>
        <v>-0.24300594089478023</v>
      </c>
    </row>
    <row r="6" spans="1:14">
      <c r="A6" s="52" t="s">
        <v>9</v>
      </c>
      <c r="B6" s="9">
        <f>季度簡明合併損益表!B4+季度簡明合併損益表!D4+季度簡明合併損益表!F4+季度簡明合併損益表!H4</f>
        <v>-1987374</v>
      </c>
      <c r="C6" s="98"/>
      <c r="D6" s="9">
        <f>季度簡明合併損益表!P4+季度簡明合併損益表!N4+季度簡明合併損益表!L4+季度簡明合併損益表!J4</f>
        <v>-2274329</v>
      </c>
      <c r="E6" s="98"/>
      <c r="F6" s="9">
        <f>季度簡明合併損益表!R4+季度簡明合併損益表!T4+季度簡明合併損益表!V4+季度簡明合併損益表!X4</f>
        <v>-2154403</v>
      </c>
      <c r="G6" s="98"/>
      <c r="H6" s="9">
        <f>SUM([1]季度簡明合併損益表!B4,[1]季度簡明合併損益表!D4,[1]季度簡明合併損益表!F4,[1]季度簡明合併損益表!H4)</f>
        <v>-2126944</v>
      </c>
      <c r="I6" s="98"/>
      <c r="J6" s="9">
        <f>SUM([1]季度簡明合併損益表!J4,[1]季度簡明合併損益表!L4,[1]季度簡明合併損益表!N4,[1]季度簡明合併損益表!P4)</f>
        <v>-2584996</v>
      </c>
      <c r="K6" s="98"/>
      <c r="L6" s="9">
        <f>SUM([1]季度簡明合併損益表!R4,[1]季度簡明合併損益表!T4,[1]季度簡明合併損益表!V4,[1]季度簡明合併損益表!X4)</f>
        <v>-2277375</v>
      </c>
      <c r="M6" s="98"/>
      <c r="N6" s="96">
        <f t="shared" ref="N6:N7" si="0">B6/D6-1</f>
        <v>-0.12617127952903906</v>
      </c>
    </row>
    <row r="7" spans="1:14">
      <c r="A7" s="51" t="s">
        <v>10</v>
      </c>
      <c r="B7" s="93">
        <f>B5+B6</f>
        <v>425213</v>
      </c>
      <c r="C7" s="99">
        <f>B7/B5</f>
        <v>0.17624773738729421</v>
      </c>
      <c r="D7" s="93">
        <f>D5+D6</f>
        <v>912733</v>
      </c>
      <c r="E7" s="99">
        <f>D7/D5</f>
        <v>0.28638696078080689</v>
      </c>
      <c r="F7" s="93">
        <f>F5+F6</f>
        <v>1246341</v>
      </c>
      <c r="G7" s="99">
        <f>F7/F5</f>
        <v>0.3664906855676287</v>
      </c>
      <c r="H7" s="93">
        <f>SUM([1]季度簡明合併損益表!B5,[1]季度簡明合併損益表!D5,[1]季度簡明合併損益表!F5,[1]季度簡明合併損益表!H5)</f>
        <v>1504649</v>
      </c>
      <c r="I7" s="99">
        <f>H7/H5</f>
        <v>0.41432203443502619</v>
      </c>
      <c r="J7" s="93">
        <f>SUM([1]季度簡明合併損益表!J5,[1]季度簡明合併損益表!L5,[1]季度簡明合併損益表!N5,[1]季度簡明合併損益表!P5)</f>
        <v>2062399</v>
      </c>
      <c r="K7" s="99">
        <f>J7/J5</f>
        <v>0.44377527625691382</v>
      </c>
      <c r="L7" s="93">
        <f>SUM([1]季度簡明合併損益表!R5,[1]季度簡明合併損益表!T5,[1]季度簡明合併損益表!V5,[1]季度簡明合併損益表!X5)</f>
        <v>1878209</v>
      </c>
      <c r="M7" s="99">
        <f>L7/L5</f>
        <v>0.45197233409311421</v>
      </c>
      <c r="N7" s="96">
        <f t="shared" si="0"/>
        <v>-0.53413210654156251</v>
      </c>
    </row>
    <row r="8" spans="1:14">
      <c r="A8" s="52" t="s">
        <v>11</v>
      </c>
      <c r="B8" s="7"/>
      <c r="C8" s="98"/>
      <c r="D8" s="7"/>
      <c r="E8" s="98"/>
      <c r="F8" s="7"/>
      <c r="G8" s="98"/>
      <c r="H8" s="7"/>
      <c r="I8" s="98"/>
      <c r="J8" s="7"/>
      <c r="K8" s="98"/>
      <c r="L8" s="7">
        <f>SUM([1]季度簡明合併損益表!R6,[1]季度簡明合併損益表!T6,[1]季度簡明合併損益表!V6,[1]季度簡明合併損益表!X6)</f>
        <v>0</v>
      </c>
      <c r="M8" s="98"/>
      <c r="N8" s="96"/>
    </row>
    <row r="9" spans="1:14">
      <c r="A9" s="52" t="s">
        <v>12</v>
      </c>
      <c r="B9" s="3">
        <f>季度簡明合併損益表!B7+季度簡明合併損益表!D7+季度簡明合併損益表!F7+季度簡明合併損益表!H7</f>
        <v>-200582</v>
      </c>
      <c r="C9" s="98"/>
      <c r="D9" s="3">
        <f>季度簡明合併損益表!P7+季度簡明合併損益表!N7+季度簡明合併損益表!L7+季度簡明合併損益表!J7</f>
        <v>-186298</v>
      </c>
      <c r="E9" s="98"/>
      <c r="F9" s="3">
        <f>季度簡明合併損益表!R7+季度簡明合併損益表!T7+季度簡明合併損益表!V7+季度簡明合併損益表!X7</f>
        <v>-239486</v>
      </c>
      <c r="G9" s="98"/>
      <c r="H9" s="3">
        <f>SUM([1]季度簡明合併損益表!B7,[1]季度簡明合併損益表!D7,[1]季度簡明合併損益表!F7,[1]季度簡明合併損益表!H7)</f>
        <v>-274664</v>
      </c>
      <c r="I9" s="98"/>
      <c r="J9" s="3">
        <f>SUM([1]季度簡明合併損益表!J7,[1]季度簡明合併損益表!L7,[1]季度簡明合併損益表!N7,[1]季度簡明合併損益表!P7)</f>
        <v>-357865</v>
      </c>
      <c r="K9" s="98"/>
      <c r="L9" s="3">
        <f>SUM([1]季度簡明合併損益表!R7,[1]季度簡明合併損益表!T7,[1]季度簡明合併損益表!V7,[1]季度簡明合併損益表!X7)</f>
        <v>-258312</v>
      </c>
      <c r="M9" s="98"/>
      <c r="N9" s="96">
        <f>B9/D9-1</f>
        <v>7.6672857464921806E-2</v>
      </c>
    </row>
    <row r="10" spans="1:14">
      <c r="A10" s="52" t="s">
        <v>13</v>
      </c>
      <c r="B10" s="3">
        <f>季度簡明合併損益表!B8+季度簡明合併損益表!D8+季度簡明合併損益表!F8+季度簡明合併損益表!H8</f>
        <v>-231200</v>
      </c>
      <c r="C10" s="98"/>
      <c r="D10" s="3">
        <f>季度簡明合併損益表!P8+季度簡明合併損益表!N8+季度簡明合併損益表!L8+季度簡明合併損益表!J8</f>
        <v>-271743</v>
      </c>
      <c r="E10" s="98"/>
      <c r="F10" s="3">
        <f>季度簡明合併損益表!R8+季度簡明合併損益表!T8+季度簡明合併損益表!V8+季度簡明合併損益表!X8</f>
        <v>-255350</v>
      </c>
      <c r="G10" s="98"/>
      <c r="H10" s="3">
        <f>SUM([1]季度簡明合併損益表!B8,[1]季度簡明合併損益表!D8,[1]季度簡明合併損益表!F8,[1]季度簡明合併損益表!H8)</f>
        <v>-294309</v>
      </c>
      <c r="I10" s="98"/>
      <c r="J10" s="3">
        <f>SUM([1]季度簡明合併損益表!J8,[1]季度簡明合併損益表!L8,[1]季度簡明合併損益表!N8,[1]季度簡明合併損益表!P8)</f>
        <v>-322290</v>
      </c>
      <c r="K10" s="98"/>
      <c r="L10" s="3">
        <f>SUM([1]季度簡明合併損益表!R8,[1]季度簡明合併損益表!T8,[1]季度簡明合併損益表!V8,[1]季度簡明合併損益表!X8)</f>
        <v>-403229</v>
      </c>
      <c r="M10" s="98"/>
      <c r="N10" s="96">
        <f t="shared" ref="N10:N18" si="1">B10/D10-1</f>
        <v>-0.14919611544731604</v>
      </c>
    </row>
    <row r="11" spans="1:14">
      <c r="A11" s="52" t="s">
        <v>14</v>
      </c>
      <c r="B11" s="3">
        <f>季度簡明合併損益表!B9+季度簡明合併損益表!D9+季度簡明合併損益表!F9+季度簡明合併損益表!H9</f>
        <v>-1036231</v>
      </c>
      <c r="C11" s="98"/>
      <c r="D11" s="3">
        <f>季度簡明合併損益表!P9+季度簡明合併損益表!N9+季度簡明合併損益表!L9+季度簡明合併損益表!J9</f>
        <v>-1089850</v>
      </c>
      <c r="E11" s="98"/>
      <c r="F11" s="3">
        <f>季度簡明合併損益表!R9+季度簡明合併損益表!T9+季度簡明合併損益表!V9+季度簡明合併損益表!X9</f>
        <v>-1129398</v>
      </c>
      <c r="G11" s="98"/>
      <c r="H11" s="3">
        <f>SUM([1]季度簡明合併損益表!B9,[1]季度簡明合併損益表!D9,[1]季度簡明合併損益表!F9,[1]季度簡明合併損益表!H9)</f>
        <v>-1158802</v>
      </c>
      <c r="I11" s="98"/>
      <c r="J11" s="3">
        <f>SUM([1]季度簡明合併損益表!J9,[1]季度簡明合併損益表!L9,[1]季度簡明合併損益表!N9,[1]季度簡明合併損益表!P9)</f>
        <v>-1143803</v>
      </c>
      <c r="K11" s="98"/>
      <c r="L11" s="3">
        <f>SUM([1]季度簡明合併損益表!R9,[1]季度簡明合併損益表!T9,[1]季度簡明合併損益表!V9,[1]季度簡明合併損益表!X9)</f>
        <v>-1196463</v>
      </c>
      <c r="M11" s="98"/>
      <c r="N11" s="96">
        <f t="shared" si="1"/>
        <v>-4.9198513556911516E-2</v>
      </c>
    </row>
    <row r="12" spans="1:14">
      <c r="A12" s="111" t="s">
        <v>171</v>
      </c>
      <c r="B12" s="66">
        <f>季度簡明合併損益表!B10+季度簡明合併損益表!D10+季度簡明合併損益表!F10+季度簡明合併損益表!H10</f>
        <v>-27228</v>
      </c>
      <c r="C12" s="98"/>
      <c r="D12" s="66"/>
      <c r="E12" s="98"/>
      <c r="F12" s="66"/>
      <c r="G12" s="98"/>
      <c r="H12" s="66"/>
      <c r="I12" s="98"/>
      <c r="J12" s="66"/>
      <c r="K12" s="98"/>
      <c r="L12" s="66"/>
      <c r="M12" s="98"/>
      <c r="N12" s="96"/>
    </row>
    <row r="13" spans="1:14">
      <c r="A13" s="52" t="s">
        <v>15</v>
      </c>
      <c r="B13" s="9">
        <f>SUM(B9:B12)</f>
        <v>-1495241</v>
      </c>
      <c r="C13" s="99"/>
      <c r="D13" s="9">
        <f>SUM(D9:D11)</f>
        <v>-1547891</v>
      </c>
      <c r="E13" s="99"/>
      <c r="F13" s="9">
        <f>SUM(F9:F11)</f>
        <v>-1624234</v>
      </c>
      <c r="G13" s="99"/>
      <c r="H13" s="9">
        <f>SUM([1]季度簡明合併損益表!B10,[1]季度簡明合併損益表!D10,[1]季度簡明合併損益表!F10,[1]季度簡明合併損益表!H10)</f>
        <v>-1727775</v>
      </c>
      <c r="I13" s="99"/>
      <c r="J13" s="9">
        <f>SUM([1]季度簡明合併損益表!J10,[1]季度簡明合併損益表!L10,[1]季度簡明合併損益表!N10,[1]季度簡明合併損益表!P10)</f>
        <v>-1823958</v>
      </c>
      <c r="K13" s="99"/>
      <c r="L13" s="9">
        <f>SUM([1]季度簡明合併損益表!R10,[1]季度簡明合併損益表!T10,[1]季度簡明合併損益表!V10,[1]季度簡明合併損益表!X10)</f>
        <v>-1858004</v>
      </c>
      <c r="M13" s="99"/>
      <c r="N13" s="96">
        <f t="shared" si="1"/>
        <v>-3.4014022951228462E-2</v>
      </c>
    </row>
    <row r="14" spans="1:14">
      <c r="A14" s="51" t="s">
        <v>150</v>
      </c>
      <c r="B14" s="3">
        <f>B7+B13</f>
        <v>-1070028</v>
      </c>
      <c r="C14" s="108">
        <f>B14/B5</f>
        <v>-0.44351892802207754</v>
      </c>
      <c r="D14" s="3">
        <f>D7+D13</f>
        <v>-635158</v>
      </c>
      <c r="E14" s="108">
        <f>D14/D5</f>
        <v>-0.19929264005532368</v>
      </c>
      <c r="F14" s="3">
        <f>F7+F13</f>
        <v>-377893</v>
      </c>
      <c r="G14" s="108">
        <f>F14/F5</f>
        <v>-0.11112068417969714</v>
      </c>
      <c r="H14" s="3">
        <f>SUM([1]季度簡明合併損益表!B11,[1]季度簡明合併損益表!D11,[1]季度簡明合併損益表!F11,[1]季度簡明合併損益表!H11)</f>
        <v>-223126</v>
      </c>
      <c r="I14" s="108">
        <f>H14/H5</f>
        <v>-6.1440255006549468E-2</v>
      </c>
      <c r="J14" s="3">
        <f>SUM([1]季度簡明合併損益表!J11,[1]季度簡明合併損益表!L11,[1]季度簡明合併損益表!N11,[1]季度簡明合併損益表!P11)</f>
        <v>238441</v>
      </c>
      <c r="K14" s="98">
        <f>J14/J5</f>
        <v>5.1306377013359099E-2</v>
      </c>
      <c r="L14" s="3">
        <f>SUM([1]季度簡明合併損益表!R11,[1]季度簡明合併損益表!T11,[1]季度簡明合併損益表!V11,[1]季度簡明合併損益表!X11)</f>
        <v>20205</v>
      </c>
      <c r="M14" s="98">
        <f>L14/L5</f>
        <v>4.8621324944941556E-3</v>
      </c>
      <c r="N14" s="96">
        <f t="shared" si="1"/>
        <v>0.68466428825583558</v>
      </c>
    </row>
    <row r="15" spans="1:14">
      <c r="A15" s="52" t="s">
        <v>151</v>
      </c>
      <c r="B15" s="7">
        <f>季度簡明合併損益表!B13+季度簡明合併損益表!D13+季度簡明合併損益表!F13+季度簡明合併損益表!H13</f>
        <v>58470</v>
      </c>
      <c r="C15" s="98"/>
      <c r="D15" s="7">
        <f>季度簡明合併損益表!P13+季度簡明合併損益表!N13+季度簡明合併損益表!L13+季度簡明合併損益表!J13</f>
        <v>62529</v>
      </c>
      <c r="E15" s="98"/>
      <c r="F15" s="7">
        <f>季度簡明合併損益表!R13+季度簡明合併損益表!T13+季度簡明合併損益表!V13+季度簡明合併損益表!X13</f>
        <v>-248672</v>
      </c>
      <c r="G15" s="98"/>
      <c r="H15" s="7">
        <f>SUM([1]季度簡明合併損益表!B12,[1]季度簡明合併損益表!D12,[1]季度簡明合併損益表!F12,[1]季度簡明合併損益表!H12)</f>
        <v>132782</v>
      </c>
      <c r="I15" s="98"/>
      <c r="J15" s="7">
        <f>SUM([1]季度簡明合併損益表!J12,[1]季度簡明合併損益表!L12,[1]季度簡明合併損益表!N12,[1]季度簡明合併損益表!P12)</f>
        <v>74215</v>
      </c>
      <c r="K15" s="98"/>
      <c r="L15" s="7">
        <f>SUM([1]季度簡明合併損益表!R12,[1]季度簡明合併損益表!T12,[1]季度簡明合併損益表!V12,[1]季度簡明合併損益表!X12)</f>
        <v>983449</v>
      </c>
      <c r="M15" s="98"/>
      <c r="N15" s="96">
        <f t="shared" si="1"/>
        <v>-6.4913879959698662E-2</v>
      </c>
    </row>
    <row r="16" spans="1:14">
      <c r="A16" s="52" t="s">
        <v>152</v>
      </c>
      <c r="B16" s="7">
        <f>季度簡明合併損益表!B14+季度簡明合併損益表!D14+季度簡明合併損益表!F14+季度簡明合併損益表!H14</f>
        <v>-1011558</v>
      </c>
      <c r="C16" s="98"/>
      <c r="D16" s="7">
        <f>季度簡明合併損益表!P14+季度簡明合併損益表!N14+季度簡明合併損益表!L14+季度簡明合併損益表!J14</f>
        <v>-572629</v>
      </c>
      <c r="E16" s="98"/>
      <c r="F16" s="7">
        <f>季度簡明合併損益表!R14+季度簡明合併損益表!T14+季度簡明合併損益表!V14+季度簡明合併損益表!X14</f>
        <v>-626565</v>
      </c>
      <c r="G16" s="98"/>
      <c r="H16" s="3">
        <f>SUM([1]季度簡明合併損益表!B13,[1]季度簡明合併損益表!D13,[1]季度簡明合併損益表!F13,[1]季度簡明合併損益表!H13)</f>
        <v>-90344</v>
      </c>
      <c r="I16" s="98"/>
      <c r="J16" s="3">
        <f>SUM([1]季度簡明合併損益表!J13,[1]季度簡明合併損益表!L13,[1]季度簡明合併損益表!N13,[1]季度簡明合併損益表!P13)</f>
        <v>312656</v>
      </c>
      <c r="K16" s="98"/>
      <c r="L16" s="3">
        <f>SUM([1]季度簡明合併損益表!R13,[1]季度簡明合併損益表!T13,[1]季度簡明合併損益表!V13,[1]季度簡明合併損益表!X13)</f>
        <v>1003654</v>
      </c>
      <c r="M16" s="98"/>
      <c r="N16" s="96">
        <f t="shared" si="1"/>
        <v>0.76651549257896479</v>
      </c>
    </row>
    <row r="17" spans="1:14">
      <c r="A17" s="52" t="s">
        <v>153</v>
      </c>
      <c r="B17" s="7">
        <f>季度簡明合併損益表!B15+季度簡明合併損益表!D15+季度簡明合併損益表!F15+季度簡明合併損益表!H15</f>
        <v>249306</v>
      </c>
      <c r="C17" s="98"/>
      <c r="D17" s="7">
        <f>季度簡明合併損益表!P15+季度簡明合併損益表!N15+季度簡明合併損益表!L15+季度簡明合併損益表!J15</f>
        <v>103525</v>
      </c>
      <c r="E17" s="98"/>
      <c r="F17" s="7">
        <f>季度簡明合併損益表!R15+季度簡明合併損益表!T15+季度簡明合併損益表!V15+季度簡明合併損益表!X15</f>
        <v>51257</v>
      </c>
      <c r="G17" s="98"/>
      <c r="H17" s="3">
        <f>SUM([1]季度簡明合併損益表!B14,[1]季度簡明合併損益表!D14,[1]季度簡明合併損益表!F14,[1]季度簡明合併損益表!H14)</f>
        <v>4436</v>
      </c>
      <c r="I17" s="98"/>
      <c r="J17" s="3">
        <f>SUM([1]季度簡明合併損益表!J14,[1]季度簡明合併損益表!L14,[1]季度簡明合併損益表!N14,[1]季度簡明合併損益表!P14)</f>
        <v>-48006</v>
      </c>
      <c r="K17" s="98"/>
      <c r="L17" s="3">
        <f>SUM([1]季度簡明合併損益表!R14,[1]季度簡明合併損益表!T14,[1]季度簡明合併損益表!V14,[1]季度簡明合併損益表!X14)</f>
        <v>-112866</v>
      </c>
      <c r="M17" s="98"/>
      <c r="N17" s="96">
        <f t="shared" si="1"/>
        <v>1.4081719391451339</v>
      </c>
    </row>
    <row r="18" spans="1:14">
      <c r="A18" s="53" t="s">
        <v>154</v>
      </c>
      <c r="B18" s="9">
        <f>B16+B17</f>
        <v>-762252</v>
      </c>
      <c r="C18" s="99"/>
      <c r="D18" s="9">
        <f>D16+D17</f>
        <v>-469104</v>
      </c>
      <c r="E18" s="99"/>
      <c r="F18" s="9">
        <f>F16+F17</f>
        <v>-575308</v>
      </c>
      <c r="G18" s="99"/>
      <c r="H18" s="9">
        <f>SUM([1]季度簡明合併損益表!B15,[1]季度簡明合併損益表!D15,[1]季度簡明合併損益表!F15,[1]季度簡明合併損益表!H15)</f>
        <v>-85908</v>
      </c>
      <c r="I18" s="99"/>
      <c r="J18" s="9">
        <f>SUM([1]季度簡明合併損益表!J15,[1]季度簡明合併損益表!L15,[1]季度簡明合併損益表!N15,[1]季度簡明合併損益表!P15)</f>
        <v>264650</v>
      </c>
      <c r="K18" s="99"/>
      <c r="L18" s="9">
        <f>SUM([1]季度簡明合併損益表!R15,[1]季度簡明合併損益表!T15,[1]季度簡明合併損益表!V15,[1]季度簡明合併損益表!X15)</f>
        <v>890788</v>
      </c>
      <c r="M18" s="99"/>
      <c r="N18" s="96">
        <f t="shared" si="1"/>
        <v>0.62491046761485736</v>
      </c>
    </row>
    <row r="19" spans="1:14">
      <c r="A19" s="52"/>
      <c r="B19" s="8"/>
      <c r="C19" s="98"/>
      <c r="D19" s="8"/>
      <c r="E19" s="98"/>
      <c r="F19" s="8"/>
      <c r="G19" s="98"/>
      <c r="H19" s="8"/>
      <c r="I19" s="98"/>
      <c r="J19" s="8"/>
      <c r="K19" s="98"/>
      <c r="L19" s="8"/>
      <c r="M19" s="98"/>
      <c r="N19" s="96"/>
    </row>
    <row r="20" spans="1:14">
      <c r="A20" s="1"/>
      <c r="B20" s="5"/>
      <c r="C20" s="98"/>
      <c r="D20" s="5"/>
      <c r="E20" s="98"/>
      <c r="F20" s="5"/>
      <c r="G20" s="98"/>
      <c r="H20" s="5"/>
      <c r="I20" s="98"/>
      <c r="J20" s="5"/>
      <c r="K20" s="98"/>
      <c r="L20" s="5"/>
      <c r="M20" s="98"/>
      <c r="N20" s="97"/>
    </row>
    <row r="21" spans="1:14">
      <c r="A21" s="52"/>
      <c r="B21" s="95">
        <f>季度簡明合併損益表!B19+季度簡明合併損益表!D19+季度簡明合併損益表!F19+季度簡明合併損益表!H19</f>
        <v>-2.58</v>
      </c>
      <c r="C21" s="98"/>
      <c r="D21" s="95">
        <f>季度簡明合併損益表!P19+季度簡明合併損益表!N19+季度簡明合併損益表!L19+季度簡明合併損益表!J19</f>
        <v>-1.6</v>
      </c>
      <c r="E21" s="98"/>
      <c r="F21" s="95">
        <f>季度簡明合併損益表!R19+季度簡明合併損益表!T19+季度簡明合併損益表!V19+季度簡明合併損益表!X19</f>
        <v>-1.95</v>
      </c>
      <c r="G21" s="98"/>
      <c r="H21" s="95">
        <f>SUM([1]季度簡明合併損益表!B18,[1]季度簡明合併損益表!D18,[1]季度簡明合併損益表!F18,[1]季度簡明合併損益表!H18)</f>
        <v>-0.29000000000000004</v>
      </c>
      <c r="I21" s="98"/>
      <c r="J21" s="95">
        <f>SUM([1]季度簡明合併損益表!J18,[1]季度簡明合併損益表!L18,[1]季度簡明合併損益表!N18,[1]季度簡明合併損益表!P18)</f>
        <v>0.9</v>
      </c>
      <c r="K21" s="98"/>
      <c r="L21" s="95">
        <f>SUM([1]季度簡明合併損益表!R18,[1]季度簡明合併損益表!T18,[1]季度簡明合併損益表!V18,[1]季度簡明合併損益表!X18)</f>
        <v>3.05</v>
      </c>
      <c r="M21" s="98"/>
      <c r="N21" s="97"/>
    </row>
    <row r="22" spans="1:14">
      <c r="A22" s="1"/>
      <c r="B22" s="10"/>
      <c r="C22" s="98"/>
      <c r="D22" s="10"/>
      <c r="E22" s="98"/>
      <c r="F22" s="10"/>
      <c r="G22" s="98"/>
      <c r="H22" s="10"/>
      <c r="I22" s="98"/>
      <c r="J22" s="10"/>
      <c r="K22" s="98"/>
      <c r="L22" s="10"/>
      <c r="M22" s="98"/>
      <c r="N22" s="100"/>
    </row>
  </sheetData>
  <mergeCells count="6">
    <mergeCell ref="B4:C4"/>
    <mergeCell ref="H4:I4"/>
    <mergeCell ref="J4:K4"/>
    <mergeCell ref="L4:M4"/>
    <mergeCell ref="F4:G4"/>
    <mergeCell ref="D4:E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22"/>
  <sheetViews>
    <sheetView zoomScaleNormal="100" workbookViewId="0">
      <selection activeCell="BJ13" sqref="BJ13"/>
    </sheetView>
  </sheetViews>
  <sheetFormatPr defaultColWidth="9" defaultRowHeight="15.75"/>
  <cols>
    <col min="1" max="1" width="26.375" style="1" bestFit="1" customWidth="1"/>
    <col min="2" max="2" width="14.375" style="1" customWidth="1"/>
    <col min="3" max="3" width="6.125" style="2" bestFit="1" customWidth="1"/>
    <col min="4" max="4" width="9.625" style="1" bestFit="1" customWidth="1"/>
    <col min="5" max="5" width="6.125" style="2" bestFit="1" customWidth="1"/>
    <col min="6" max="6" width="9.625" style="1" hidden="1" customWidth="1"/>
    <col min="7" max="7" width="6.125" style="2" hidden="1" customWidth="1"/>
    <col min="8" max="8" width="9.625" style="1" hidden="1" customWidth="1"/>
    <col min="9" max="9" width="6.125" style="2" hidden="1" customWidth="1"/>
    <col min="10" max="10" width="9.625" style="1" bestFit="1" customWidth="1"/>
    <col min="11" max="11" width="6.125" style="2" bestFit="1" customWidth="1"/>
    <col min="12" max="12" width="9.625" style="1" hidden="1" customWidth="1"/>
    <col min="13" max="13" width="6.125" style="2" hidden="1" customWidth="1"/>
    <col min="14" max="14" width="9.625" style="1" hidden="1" customWidth="1"/>
    <col min="15" max="15" width="6.125" style="2" hidden="1" customWidth="1"/>
    <col min="16" max="16" width="9.625" style="1" hidden="1" customWidth="1"/>
    <col min="17" max="17" width="6.125" style="2" hidden="1" customWidth="1"/>
    <col min="18" max="18" width="9.625" style="1" hidden="1" customWidth="1"/>
    <col min="19" max="19" width="6.125" style="2" hidden="1" customWidth="1"/>
    <col min="20" max="20" width="9.625" style="1" hidden="1" customWidth="1"/>
    <col min="21" max="21" width="6.125" style="2" hidden="1" customWidth="1"/>
    <col min="22" max="22" width="9.625" style="1" hidden="1" customWidth="1"/>
    <col min="23" max="23" width="6.125" style="2" hidden="1" customWidth="1"/>
    <col min="24" max="24" width="9.625" style="1" hidden="1" customWidth="1"/>
    <col min="25" max="25" width="6.125" style="2" hidden="1" customWidth="1"/>
    <col min="26" max="26" width="10.875" style="1" hidden="1" customWidth="1"/>
    <col min="27" max="27" width="6.125" style="2" hidden="1" customWidth="1"/>
    <col min="28" max="28" width="9.625" style="1" hidden="1" customWidth="1"/>
    <col min="29" max="29" width="6.125" style="2" hidden="1" customWidth="1"/>
    <col min="30" max="30" width="9.625" style="1" hidden="1" customWidth="1"/>
    <col min="31" max="31" width="6.125" style="2" hidden="1" customWidth="1"/>
    <col min="32" max="32" width="9.625" style="1" hidden="1" customWidth="1"/>
    <col min="33" max="33" width="6.125" style="2" hidden="1" customWidth="1"/>
    <col min="34" max="34" width="10.875" style="1" hidden="1" customWidth="1"/>
    <col min="35" max="35" width="6.125" style="2" hidden="1" customWidth="1"/>
    <col min="36" max="36" width="10.875" style="1" hidden="1" customWidth="1"/>
    <col min="37" max="37" width="6.125" style="2" hidden="1" customWidth="1"/>
    <col min="38" max="38" width="10.875" style="1" hidden="1" customWidth="1"/>
    <col min="39" max="39" width="6.125" style="2" hidden="1" customWidth="1"/>
    <col min="40" max="40" width="10.875" style="1" hidden="1" customWidth="1"/>
    <col min="41" max="41" width="6.125" style="2" hidden="1" customWidth="1"/>
    <col min="42" max="42" width="10.875" style="1" hidden="1" customWidth="1"/>
    <col min="43" max="43" width="6.125" style="2" hidden="1" customWidth="1"/>
    <col min="44" max="44" width="10.875" style="1" hidden="1" customWidth="1"/>
    <col min="45" max="45" width="6.125" style="2" hidden="1" customWidth="1"/>
    <col min="46" max="46" width="9.625" style="1" hidden="1" customWidth="1"/>
    <col min="47" max="47" width="6.125" style="2" hidden="1" customWidth="1"/>
    <col min="48" max="48" width="9.625" style="1" hidden="1" customWidth="1"/>
    <col min="49" max="49" width="6.125" style="2" hidden="1" customWidth="1"/>
    <col min="50" max="50" width="10.875" style="1" hidden="1" customWidth="1"/>
    <col min="51" max="51" width="6.125" style="2" hidden="1" customWidth="1"/>
    <col min="52" max="52" width="10.875" style="1" hidden="1" customWidth="1"/>
    <col min="53" max="53" width="6.125" style="2" hidden="1" customWidth="1"/>
    <col min="54" max="54" width="10.875" style="1" hidden="1" customWidth="1"/>
    <col min="55" max="55" width="6.125" style="2" hidden="1" customWidth="1"/>
    <col min="56" max="56" width="10.875" style="1" hidden="1" customWidth="1"/>
    <col min="57" max="57" width="6.125" style="2" hidden="1" customWidth="1"/>
    <col min="58" max="58" width="1.125" style="1" hidden="1" customWidth="1"/>
    <col min="59" max="59" width="9.875" style="1" customWidth="1"/>
    <col min="60" max="60" width="10.625" style="1" customWidth="1"/>
    <col min="61" max="16384" width="9" style="1"/>
  </cols>
  <sheetData>
    <row r="1" spans="1:63" ht="82.5" customHeight="1"/>
    <row r="2" spans="1:63" ht="17.25" customHeight="1" thickBot="1">
      <c r="A2" s="50" t="s">
        <v>20</v>
      </c>
      <c r="B2" s="114" t="s">
        <v>179</v>
      </c>
      <c r="C2" s="115"/>
      <c r="D2" s="114" t="s">
        <v>176</v>
      </c>
      <c r="E2" s="115"/>
      <c r="F2" s="114" t="s">
        <v>174</v>
      </c>
      <c r="G2" s="115"/>
      <c r="H2" s="114" t="s">
        <v>169</v>
      </c>
      <c r="I2" s="115"/>
      <c r="J2" s="114" t="s">
        <v>164</v>
      </c>
      <c r="K2" s="115"/>
      <c r="L2" s="114" t="s">
        <v>162</v>
      </c>
      <c r="M2" s="115"/>
      <c r="N2" s="114" t="s">
        <v>159</v>
      </c>
      <c r="O2" s="115"/>
      <c r="P2" s="114" t="s">
        <v>156</v>
      </c>
      <c r="Q2" s="115"/>
      <c r="R2" s="114" t="s">
        <v>143</v>
      </c>
      <c r="S2" s="115"/>
      <c r="T2" s="114" t="s">
        <v>141</v>
      </c>
      <c r="U2" s="115"/>
      <c r="V2" s="114" t="s">
        <v>138</v>
      </c>
      <c r="W2" s="115"/>
      <c r="X2" s="114" t="s">
        <v>135</v>
      </c>
      <c r="Y2" s="115"/>
      <c r="Z2" s="114" t="s">
        <v>122</v>
      </c>
      <c r="AA2" s="115"/>
      <c r="AB2" s="114" t="s">
        <v>120</v>
      </c>
      <c r="AC2" s="115"/>
      <c r="AD2" s="114" t="s">
        <v>114</v>
      </c>
      <c r="AE2" s="115"/>
      <c r="AF2" s="114" t="s">
        <v>112</v>
      </c>
      <c r="AG2" s="115"/>
      <c r="AH2" s="114" t="s">
        <v>107</v>
      </c>
      <c r="AI2" s="115"/>
      <c r="AJ2" s="114" t="s">
        <v>104</v>
      </c>
      <c r="AK2" s="115"/>
      <c r="AL2" s="114" t="s">
        <v>103</v>
      </c>
      <c r="AM2" s="115"/>
      <c r="AN2" s="114" t="s">
        <v>101</v>
      </c>
      <c r="AO2" s="115"/>
      <c r="AP2" s="114" t="s">
        <v>82</v>
      </c>
      <c r="AQ2" s="115"/>
      <c r="AR2" s="114" t="s">
        <v>75</v>
      </c>
      <c r="AS2" s="115"/>
      <c r="AT2" s="114" t="s">
        <v>69</v>
      </c>
      <c r="AU2" s="115"/>
      <c r="AV2" s="114" t="s">
        <v>17</v>
      </c>
      <c r="AW2" s="115"/>
      <c r="AX2" s="114" t="s">
        <v>19</v>
      </c>
      <c r="AY2" s="115"/>
      <c r="AZ2" s="114" t="s">
        <v>76</v>
      </c>
      <c r="BA2" s="115"/>
      <c r="BB2" s="114" t="s">
        <v>70</v>
      </c>
      <c r="BC2" s="115"/>
      <c r="BD2" s="114" t="s">
        <v>18</v>
      </c>
      <c r="BE2" s="115"/>
      <c r="BG2" s="76" t="s">
        <v>80</v>
      </c>
      <c r="BH2" s="76" t="s">
        <v>81</v>
      </c>
    </row>
    <row r="3" spans="1:63" ht="16.5">
      <c r="A3" s="51" t="s">
        <v>8</v>
      </c>
      <c r="B3" s="3">
        <v>587794</v>
      </c>
      <c r="C3" s="69">
        <v>1</v>
      </c>
      <c r="D3" s="3">
        <v>672872</v>
      </c>
      <c r="E3" s="69">
        <v>1</v>
      </c>
      <c r="F3" s="3">
        <v>599985</v>
      </c>
      <c r="G3" s="69">
        <v>1</v>
      </c>
      <c r="H3" s="3">
        <v>551936</v>
      </c>
      <c r="I3" s="69">
        <v>1</v>
      </c>
      <c r="J3" s="3">
        <f>3187062-L3-N3-P3</f>
        <v>675324</v>
      </c>
      <c r="K3" s="69">
        <v>1</v>
      </c>
      <c r="L3" s="3">
        <v>857074</v>
      </c>
      <c r="M3" s="69">
        <v>1</v>
      </c>
      <c r="N3" s="3">
        <v>899706</v>
      </c>
      <c r="O3" s="69">
        <v>1</v>
      </c>
      <c r="P3" s="3">
        <v>754958</v>
      </c>
      <c r="Q3" s="69">
        <v>1</v>
      </c>
      <c r="R3" s="3">
        <f>3400744-T3-V3-X3</f>
        <v>831494</v>
      </c>
      <c r="S3" s="69">
        <v>1</v>
      </c>
      <c r="T3" s="3">
        <v>790877</v>
      </c>
      <c r="U3" s="69">
        <v>1</v>
      </c>
      <c r="V3" s="3">
        <v>796637</v>
      </c>
      <c r="W3" s="69">
        <v>1</v>
      </c>
      <c r="X3" s="3">
        <v>981736</v>
      </c>
      <c r="Y3" s="69">
        <v>1</v>
      </c>
      <c r="Z3" s="3">
        <v>1110908</v>
      </c>
      <c r="AA3" s="69">
        <v>1</v>
      </c>
      <c r="AB3" s="3">
        <v>952310</v>
      </c>
      <c r="AC3" s="69">
        <v>1</v>
      </c>
      <c r="AD3" s="3">
        <v>658485</v>
      </c>
      <c r="AE3" s="69">
        <v>1</v>
      </c>
      <c r="AF3" s="3">
        <v>909890</v>
      </c>
      <c r="AG3" s="69">
        <v>1</v>
      </c>
      <c r="AH3" s="3">
        <v>1126645</v>
      </c>
      <c r="AI3" s="69">
        <v>1</v>
      </c>
      <c r="AJ3" s="3">
        <v>1395830</v>
      </c>
      <c r="AK3" s="69">
        <v>1</v>
      </c>
      <c r="AL3" s="3">
        <v>1016890</v>
      </c>
      <c r="AM3" s="69">
        <v>1</v>
      </c>
      <c r="AN3" s="3">
        <v>1108030</v>
      </c>
      <c r="AO3" s="69">
        <v>1</v>
      </c>
      <c r="AP3" s="3">
        <v>1280595</v>
      </c>
      <c r="AQ3" s="69">
        <v>1</v>
      </c>
      <c r="AR3" s="3">
        <v>1058707</v>
      </c>
      <c r="AS3" s="69">
        <v>1</v>
      </c>
      <c r="AT3" s="3">
        <v>955183</v>
      </c>
      <c r="AU3" s="69">
        <v>1</v>
      </c>
      <c r="AV3" s="3">
        <v>861099</v>
      </c>
      <c r="AW3" s="4">
        <v>1</v>
      </c>
      <c r="AX3" s="3">
        <v>1184085</v>
      </c>
      <c r="AY3" s="4">
        <v>1</v>
      </c>
      <c r="AZ3" s="3">
        <v>1221942</v>
      </c>
      <c r="BA3" s="4">
        <v>1</v>
      </c>
      <c r="BB3" s="3">
        <v>1291208</v>
      </c>
      <c r="BC3" s="4">
        <v>1</v>
      </c>
      <c r="BD3" s="3">
        <v>1425353</v>
      </c>
      <c r="BE3" s="4">
        <v>1</v>
      </c>
      <c r="BG3" s="78">
        <f>B3/D3-1</f>
        <v>-0.12644009559024594</v>
      </c>
      <c r="BH3" s="77">
        <f>B3/J3-1</f>
        <v>-0.12961186038109118</v>
      </c>
    </row>
    <row r="4" spans="1:63">
      <c r="A4" s="52" t="s">
        <v>9</v>
      </c>
      <c r="B4" s="9">
        <v>-545862</v>
      </c>
      <c r="C4" s="69"/>
      <c r="D4" s="9">
        <v>-585538</v>
      </c>
      <c r="E4" s="69"/>
      <c r="F4" s="9">
        <v>-471447</v>
      </c>
      <c r="G4" s="69"/>
      <c r="H4" s="9">
        <v>-384527</v>
      </c>
      <c r="I4" s="69"/>
      <c r="J4" s="9">
        <f>-2274329-L4-N4-P4</f>
        <v>-478334</v>
      </c>
      <c r="K4" s="69"/>
      <c r="L4" s="9">
        <v>-602845</v>
      </c>
      <c r="M4" s="69"/>
      <c r="N4" s="9">
        <v>-644630</v>
      </c>
      <c r="O4" s="69"/>
      <c r="P4" s="9">
        <v>-548520</v>
      </c>
      <c r="Q4" s="69"/>
      <c r="R4" s="9">
        <f>-2154403-T4-V4-X4</f>
        <v>-533706</v>
      </c>
      <c r="S4" s="69"/>
      <c r="T4" s="9">
        <v>-506611</v>
      </c>
      <c r="U4" s="69"/>
      <c r="V4" s="9">
        <v>-500846</v>
      </c>
      <c r="W4" s="69"/>
      <c r="X4" s="9">
        <v>-613240</v>
      </c>
      <c r="Y4" s="69"/>
      <c r="Z4" s="9">
        <v>-646306</v>
      </c>
      <c r="AA4" s="69"/>
      <c r="AB4" s="9">
        <v>-547225</v>
      </c>
      <c r="AC4" s="69"/>
      <c r="AD4" s="9">
        <v>-403323</v>
      </c>
      <c r="AE4" s="69"/>
      <c r="AF4" s="9">
        <v>-530090</v>
      </c>
      <c r="AG4" s="69"/>
      <c r="AH4" s="9">
        <f>-2584996-(AJ4+AL4+AN4)</f>
        <v>-685726</v>
      </c>
      <c r="AI4" s="69"/>
      <c r="AJ4" s="9">
        <v>-798154</v>
      </c>
      <c r="AK4" s="69"/>
      <c r="AL4" s="9">
        <v>-542663</v>
      </c>
      <c r="AM4" s="69"/>
      <c r="AN4" s="9">
        <v>-558453</v>
      </c>
      <c r="AO4" s="69"/>
      <c r="AP4" s="9">
        <v>-667492</v>
      </c>
      <c r="AQ4" s="69"/>
      <c r="AR4" s="9">
        <v>-617622</v>
      </c>
      <c r="AS4" s="69"/>
      <c r="AT4" s="9">
        <v>-519202</v>
      </c>
      <c r="AU4" s="69"/>
      <c r="AV4" s="9">
        <v>-473059</v>
      </c>
      <c r="AW4" s="4"/>
      <c r="AX4" s="9">
        <f>-2699563+2045465</f>
        <v>-654098</v>
      </c>
      <c r="AY4" s="4"/>
      <c r="AZ4" s="9">
        <v>-648046</v>
      </c>
      <c r="BA4" s="4"/>
      <c r="BB4" s="9">
        <v>-664188</v>
      </c>
      <c r="BC4" s="4"/>
      <c r="BD4" s="9">
        <v>-733231</v>
      </c>
      <c r="BE4" s="4"/>
      <c r="BG4" s="78">
        <f>B4/D4-1</f>
        <v>-6.7759906274229897E-2</v>
      </c>
      <c r="BH4" s="77">
        <f>B4/J4-1</f>
        <v>0.14117332240651925</v>
      </c>
    </row>
    <row r="5" spans="1:63" ht="16.5">
      <c r="A5" s="51" t="s">
        <v>10</v>
      </c>
      <c r="B5" s="93">
        <f>B3+B4</f>
        <v>41932</v>
      </c>
      <c r="C5" s="4">
        <f>B5/B3</f>
        <v>7.1337917705862938E-2</v>
      </c>
      <c r="D5" s="93">
        <f>D3+D4</f>
        <v>87334</v>
      </c>
      <c r="E5" s="4">
        <f>D5/D3</f>
        <v>0.12979288780035431</v>
      </c>
      <c r="F5" s="93">
        <f>F3+F4</f>
        <v>128538</v>
      </c>
      <c r="G5" s="4">
        <f>F5/F3</f>
        <v>0.21423535588389711</v>
      </c>
      <c r="H5" s="93">
        <f>H3+H4</f>
        <v>167409</v>
      </c>
      <c r="I5" s="4">
        <f>H5/H3</f>
        <v>0.30331234056122447</v>
      </c>
      <c r="J5" s="93">
        <f>J3+J4</f>
        <v>196990</v>
      </c>
      <c r="K5" s="4">
        <f>J5/J3</f>
        <v>0.29169702246625323</v>
      </c>
      <c r="L5" s="93">
        <f>L3+L4</f>
        <v>254229</v>
      </c>
      <c r="M5" s="4">
        <f>L5/L3</f>
        <v>0.29662432882108197</v>
      </c>
      <c r="N5" s="93">
        <f>N3+N4</f>
        <v>255076</v>
      </c>
      <c r="O5" s="4">
        <f>N5/N3</f>
        <v>0.28351039117222737</v>
      </c>
      <c r="P5" s="93">
        <f>P3+P4</f>
        <v>206438</v>
      </c>
      <c r="Q5" s="4">
        <f>P5/P3</f>
        <v>0.27344302596965658</v>
      </c>
      <c r="R5" s="93">
        <f>R3+R4</f>
        <v>297788</v>
      </c>
      <c r="S5" s="4">
        <f>R5/R3</f>
        <v>0.35813607795125402</v>
      </c>
      <c r="T5" s="93">
        <f>T3+T4</f>
        <v>284266</v>
      </c>
      <c r="U5" s="4">
        <f>T5/T3</f>
        <v>0.35943136543356302</v>
      </c>
      <c r="V5" s="93">
        <f>V3+V4</f>
        <v>295791</v>
      </c>
      <c r="W5" s="4">
        <f>V5/V3</f>
        <v>0.37129960069642759</v>
      </c>
      <c r="X5" s="93">
        <f>X3+X4</f>
        <v>368496</v>
      </c>
      <c r="Y5" s="4">
        <f>X5/X3</f>
        <v>0.37535141830390245</v>
      </c>
      <c r="Z5" s="93">
        <f>Z3+Z4</f>
        <v>464602</v>
      </c>
      <c r="AA5" s="4">
        <f>Z5/Z3</f>
        <v>0.41821825029615411</v>
      </c>
      <c r="AB5" s="93">
        <f>AB3+AB4</f>
        <v>405085</v>
      </c>
      <c r="AC5" s="4">
        <f>AB5/AB3</f>
        <v>0.42537094013504007</v>
      </c>
      <c r="AD5" s="93">
        <f>AD3+AD4</f>
        <v>255162</v>
      </c>
      <c r="AE5" s="4">
        <f>AD5/AD3</f>
        <v>0.38749857627736395</v>
      </c>
      <c r="AF5" s="9">
        <f>AF3+AF4</f>
        <v>379800</v>
      </c>
      <c r="AG5" s="4">
        <f>AF5/AF3</f>
        <v>0.41741309389047027</v>
      </c>
      <c r="AH5" s="9">
        <f>AH3+AH4</f>
        <v>440919</v>
      </c>
      <c r="AI5" s="4">
        <f>AH5/AH3</f>
        <v>0.39135575092420416</v>
      </c>
      <c r="AJ5" s="9">
        <f>AJ3+AJ4</f>
        <v>597676</v>
      </c>
      <c r="AK5" s="4">
        <f>AJ5/AJ3</f>
        <v>0.42818681358045035</v>
      </c>
      <c r="AL5" s="9">
        <f>AL3+AL4</f>
        <v>474227</v>
      </c>
      <c r="AM5" s="4">
        <f>AL5/AL3</f>
        <v>0.46635034271160108</v>
      </c>
      <c r="AN5" s="9">
        <f>AN3+AN4</f>
        <v>549577</v>
      </c>
      <c r="AO5" s="4">
        <f>AN5/AN3</f>
        <v>0.49599469328447787</v>
      </c>
      <c r="AP5" s="9">
        <f>AP3+AP4</f>
        <v>613103</v>
      </c>
      <c r="AQ5" s="4">
        <f>AP5/AP3</f>
        <v>0.47876416821867962</v>
      </c>
      <c r="AR5" s="9">
        <f>AR3+AR4</f>
        <v>441085</v>
      </c>
      <c r="AS5" s="69">
        <f>AR5/AR3</f>
        <v>0.41662612979795166</v>
      </c>
      <c r="AT5" s="9">
        <f>AT3+AT4</f>
        <v>435981</v>
      </c>
      <c r="AU5" s="89">
        <f>AT5/AT3</f>
        <v>0.45643714345837394</v>
      </c>
      <c r="AV5" s="9">
        <f>AV3+AV4</f>
        <v>388040</v>
      </c>
      <c r="AW5" s="4">
        <f>AV5/AV3</f>
        <v>0.4506334347154044</v>
      </c>
      <c r="AX5" s="9">
        <f>AX3+AX4</f>
        <v>529987</v>
      </c>
      <c r="AY5" s="4">
        <f>AX5/AX3</f>
        <v>0.44759202253216618</v>
      </c>
      <c r="AZ5" s="9">
        <f>AZ3+AZ4</f>
        <v>573896</v>
      </c>
      <c r="BA5" s="4">
        <f>AZ5/AZ3</f>
        <v>0.46965895271625002</v>
      </c>
      <c r="BB5" s="9">
        <f>BB3+BB4</f>
        <v>627020</v>
      </c>
      <c r="BC5" s="4">
        <f>BB5/BB3</f>
        <v>0.48560727628701184</v>
      </c>
      <c r="BD5" s="9">
        <f>BD3+BD4</f>
        <v>692122</v>
      </c>
      <c r="BE5" s="4">
        <f>BD5/BD3</f>
        <v>0.48557936174407323</v>
      </c>
      <c r="BG5" s="78">
        <f>B5/D5-1</f>
        <v>-0.51986626056289653</v>
      </c>
      <c r="BH5" s="77">
        <f>B5/J5-1</f>
        <v>-0.7871364028630895</v>
      </c>
    </row>
    <row r="6" spans="1:63">
      <c r="A6" s="52" t="s">
        <v>11</v>
      </c>
      <c r="B6" s="7"/>
      <c r="C6" s="69"/>
      <c r="D6" s="7"/>
      <c r="E6" s="69"/>
      <c r="F6" s="7"/>
      <c r="G6" s="69"/>
      <c r="H6" s="7"/>
      <c r="I6" s="69"/>
      <c r="J6" s="7"/>
      <c r="K6" s="69"/>
      <c r="L6" s="7"/>
      <c r="M6" s="69"/>
      <c r="N6" s="7"/>
      <c r="O6" s="69"/>
      <c r="P6" s="7"/>
      <c r="Q6" s="69"/>
      <c r="R6" s="7"/>
      <c r="S6" s="69"/>
      <c r="T6" s="7"/>
      <c r="U6" s="69"/>
      <c r="V6" s="7"/>
      <c r="W6" s="69"/>
      <c r="X6" s="7"/>
      <c r="Y6" s="69"/>
      <c r="Z6" s="7"/>
      <c r="AA6" s="69"/>
      <c r="AB6" s="7"/>
      <c r="AC6" s="69"/>
      <c r="AD6" s="7"/>
      <c r="AE6" s="69"/>
      <c r="AF6" s="7"/>
      <c r="AG6" s="69"/>
      <c r="AH6" s="7"/>
      <c r="AI6" s="69"/>
      <c r="AJ6" s="7"/>
      <c r="AK6" s="69"/>
      <c r="AL6" s="7"/>
      <c r="AM6" s="69"/>
      <c r="AN6" s="7"/>
      <c r="AO6" s="69"/>
      <c r="AP6" s="7"/>
      <c r="AQ6" s="69"/>
      <c r="AR6" s="7"/>
      <c r="AS6" s="69"/>
      <c r="AT6" s="7"/>
      <c r="AU6" s="69"/>
      <c r="AV6" s="7"/>
      <c r="AW6" s="4"/>
      <c r="AX6" s="7"/>
      <c r="AY6" s="4"/>
      <c r="AZ6" s="7"/>
      <c r="BA6" s="4"/>
      <c r="BB6" s="7"/>
      <c r="BC6" s="4"/>
      <c r="BD6" s="7"/>
      <c r="BE6" s="4"/>
      <c r="BG6" s="78"/>
      <c r="BH6" s="77"/>
    </row>
    <row r="7" spans="1:63">
      <c r="A7" s="52" t="s">
        <v>12</v>
      </c>
      <c r="B7" s="3">
        <v>-76362</v>
      </c>
      <c r="C7" s="69"/>
      <c r="D7" s="3">
        <v>-45955</v>
      </c>
      <c r="E7" s="69"/>
      <c r="F7" s="3">
        <v>-39006</v>
      </c>
      <c r="G7" s="69"/>
      <c r="H7" s="3">
        <v>-39259</v>
      </c>
      <c r="I7" s="69"/>
      <c r="J7" s="3">
        <f>-186298-L7-N7-P7</f>
        <v>-40754</v>
      </c>
      <c r="K7" s="69"/>
      <c r="L7" s="3">
        <v>-48935</v>
      </c>
      <c r="M7" s="69"/>
      <c r="N7" s="3">
        <v>-51970</v>
      </c>
      <c r="O7" s="69"/>
      <c r="P7" s="3">
        <v>-44639</v>
      </c>
      <c r="Q7" s="69"/>
      <c r="R7" s="3">
        <f>-239486-T7-V7-X7</f>
        <v>-42784</v>
      </c>
      <c r="S7" s="69"/>
      <c r="T7" s="3">
        <v>-58266</v>
      </c>
      <c r="U7" s="69"/>
      <c r="V7" s="3">
        <v>-67483</v>
      </c>
      <c r="W7" s="69"/>
      <c r="X7" s="3">
        <v>-70953</v>
      </c>
      <c r="Y7" s="69"/>
      <c r="Z7" s="3">
        <v>-74961</v>
      </c>
      <c r="AA7" s="69"/>
      <c r="AB7" s="3">
        <f>-73794</f>
        <v>-73794</v>
      </c>
      <c r="AC7" s="69"/>
      <c r="AD7" s="3">
        <v>-60269</v>
      </c>
      <c r="AE7" s="69"/>
      <c r="AF7" s="3">
        <v>-65640</v>
      </c>
      <c r="AG7" s="69"/>
      <c r="AH7" s="3">
        <f>-357865-(AJ7+AL7+AN7)</f>
        <v>-85182</v>
      </c>
      <c r="AI7" s="69"/>
      <c r="AJ7" s="3">
        <v>-104663</v>
      </c>
      <c r="AK7" s="69"/>
      <c r="AL7" s="3">
        <v>-80635</v>
      </c>
      <c r="AM7" s="69"/>
      <c r="AN7" s="3">
        <v>-87385</v>
      </c>
      <c r="AO7" s="69"/>
      <c r="AP7" s="3">
        <f>-258312+173702</f>
        <v>-84610</v>
      </c>
      <c r="AQ7" s="69"/>
      <c r="AR7" s="3">
        <f>-77798+14935</f>
        <v>-62863</v>
      </c>
      <c r="AS7" s="69"/>
      <c r="AT7" s="3">
        <v>-38651</v>
      </c>
      <c r="AU7" s="69"/>
      <c r="AV7" s="3">
        <v>-72188</v>
      </c>
      <c r="AW7" s="4"/>
      <c r="AX7" s="3">
        <f>-299442+226501</f>
        <v>-72941</v>
      </c>
      <c r="AY7" s="4"/>
      <c r="AZ7" s="3">
        <v>-69462</v>
      </c>
      <c r="BA7" s="4"/>
      <c r="BB7" s="3">
        <v>-73485</v>
      </c>
      <c r="BC7" s="4"/>
      <c r="BD7" s="3">
        <v>-83554</v>
      </c>
      <c r="BE7" s="4"/>
      <c r="BG7" s="78">
        <f t="shared" ref="BG7:BG16" si="0">B7/D7-1</f>
        <v>0.66166902404526162</v>
      </c>
      <c r="BH7" s="77">
        <f>B7/J7-1</f>
        <v>0.87373018599401275</v>
      </c>
    </row>
    <row r="8" spans="1:63">
      <c r="A8" s="52" t="s">
        <v>13</v>
      </c>
      <c r="B8" s="3">
        <v>-59979</v>
      </c>
      <c r="C8" s="69"/>
      <c r="D8" s="3">
        <v>-58150</v>
      </c>
      <c r="E8" s="69"/>
      <c r="F8" s="3">
        <v>-53151</v>
      </c>
      <c r="G8" s="69"/>
      <c r="H8" s="3">
        <v>-59920</v>
      </c>
      <c r="I8" s="69"/>
      <c r="J8" s="3">
        <f>-271743-L8-N8-P8</f>
        <v>-66881</v>
      </c>
      <c r="K8" s="69"/>
      <c r="L8" s="3">
        <v>-73230</v>
      </c>
      <c r="M8" s="69"/>
      <c r="N8" s="3">
        <v>-69658</v>
      </c>
      <c r="O8" s="69"/>
      <c r="P8" s="3">
        <v>-61974</v>
      </c>
      <c r="Q8" s="69"/>
      <c r="R8" s="3">
        <f>-255350-T8-V8-X8</f>
        <v>-65048</v>
      </c>
      <c r="S8" s="69"/>
      <c r="T8" s="3">
        <v>-64537</v>
      </c>
      <c r="U8" s="69"/>
      <c r="V8" s="3">
        <v>-60767</v>
      </c>
      <c r="W8" s="69"/>
      <c r="X8" s="3">
        <v>-64998</v>
      </c>
      <c r="Y8" s="69"/>
      <c r="Z8" s="3">
        <v>-80371</v>
      </c>
      <c r="AA8" s="69"/>
      <c r="AB8" s="3">
        <f>-66866</f>
        <v>-66866</v>
      </c>
      <c r="AC8" s="69"/>
      <c r="AD8" s="3">
        <v>-76032</v>
      </c>
      <c r="AE8" s="69"/>
      <c r="AF8" s="3">
        <v>-71040</v>
      </c>
      <c r="AG8" s="69"/>
      <c r="AH8" s="3">
        <f>-322290-(AJ8+AL8+AN8)</f>
        <v>-81377</v>
      </c>
      <c r="AI8" s="69"/>
      <c r="AJ8" s="3">
        <v>-78543</v>
      </c>
      <c r="AK8" s="69"/>
      <c r="AL8" s="3">
        <v>-73340</v>
      </c>
      <c r="AM8" s="69"/>
      <c r="AN8" s="3">
        <v>-89030</v>
      </c>
      <c r="AO8" s="69"/>
      <c r="AP8" s="3">
        <v>-125653</v>
      </c>
      <c r="AQ8" s="69"/>
      <c r="AR8" s="3">
        <v>-100274</v>
      </c>
      <c r="AS8" s="69"/>
      <c r="AT8" s="3">
        <v>-99303</v>
      </c>
      <c r="AU8" s="69"/>
      <c r="AV8" s="3">
        <v>-77999</v>
      </c>
      <c r="AW8" s="4"/>
      <c r="AX8" s="3">
        <f>-269286+203485</f>
        <v>-65801</v>
      </c>
      <c r="AY8" s="4"/>
      <c r="AZ8" s="3">
        <v>-66733</v>
      </c>
      <c r="BA8" s="4"/>
      <c r="BB8" s="3">
        <v>-67142</v>
      </c>
      <c r="BC8" s="4"/>
      <c r="BD8" s="3">
        <v>-69610</v>
      </c>
      <c r="BE8" s="4"/>
      <c r="BG8" s="78">
        <f t="shared" si="0"/>
        <v>3.1453138435081796E-2</v>
      </c>
      <c r="BH8" s="77">
        <f>B8/J8-1</f>
        <v>-0.10319821772999804</v>
      </c>
    </row>
    <row r="9" spans="1:63">
      <c r="A9" s="52" t="s">
        <v>14</v>
      </c>
      <c r="B9" s="3">
        <v>-244537</v>
      </c>
      <c r="C9" s="69"/>
      <c r="D9" s="3">
        <v>-252930</v>
      </c>
      <c r="E9" s="69"/>
      <c r="F9" s="3">
        <v>-274336</v>
      </c>
      <c r="G9" s="69"/>
      <c r="H9" s="3">
        <v>-264428</v>
      </c>
      <c r="I9" s="69"/>
      <c r="J9" s="3">
        <f>-1089850-L9-N9-P9</f>
        <v>-294436</v>
      </c>
      <c r="K9" s="69"/>
      <c r="L9" s="3">
        <v>-275939</v>
      </c>
      <c r="M9" s="69"/>
      <c r="N9" s="3">
        <v>-276882</v>
      </c>
      <c r="O9" s="69"/>
      <c r="P9" s="3">
        <v>-242593</v>
      </c>
      <c r="Q9" s="69"/>
      <c r="R9" s="3">
        <f>-1129398-T9-V9-X9</f>
        <v>-273562</v>
      </c>
      <c r="S9" s="69"/>
      <c r="T9" s="3">
        <v>-275602</v>
      </c>
      <c r="U9" s="69"/>
      <c r="V9" s="3">
        <v>-298239</v>
      </c>
      <c r="W9" s="69"/>
      <c r="X9" s="3">
        <v>-281995</v>
      </c>
      <c r="Y9" s="69"/>
      <c r="Z9" s="3">
        <v>-307904</v>
      </c>
      <c r="AA9" s="69"/>
      <c r="AB9" s="3">
        <f>-303392</f>
        <v>-303392</v>
      </c>
      <c r="AC9" s="69"/>
      <c r="AD9" s="3">
        <v>-286553</v>
      </c>
      <c r="AE9" s="69"/>
      <c r="AF9" s="3">
        <v>-260953</v>
      </c>
      <c r="AG9" s="69"/>
      <c r="AH9" s="3">
        <f>-1143803-(AJ9+AL9+AN9)</f>
        <v>-272407</v>
      </c>
      <c r="AI9" s="69"/>
      <c r="AJ9" s="3">
        <v>-291762</v>
      </c>
      <c r="AK9" s="69"/>
      <c r="AL9" s="3">
        <v>-278005</v>
      </c>
      <c r="AM9" s="69"/>
      <c r="AN9" s="3">
        <v>-301629</v>
      </c>
      <c r="AO9" s="69"/>
      <c r="AP9" s="3">
        <f>-1196463+863270</f>
        <v>-333193</v>
      </c>
      <c r="AQ9" s="69"/>
      <c r="AR9" s="3">
        <f>-275668-14935</f>
        <v>-290603</v>
      </c>
      <c r="AS9" s="69"/>
      <c r="AT9" s="3">
        <v>-265858</v>
      </c>
      <c r="AU9" s="69"/>
      <c r="AV9" s="3">
        <v>-306809</v>
      </c>
      <c r="AW9" s="4"/>
      <c r="AX9" s="3">
        <f>-921277+700283</f>
        <v>-220994</v>
      </c>
      <c r="AY9" s="4"/>
      <c r="AZ9" s="3">
        <v>-226246</v>
      </c>
      <c r="BA9" s="4"/>
      <c r="BB9" s="3">
        <v>-235303</v>
      </c>
      <c r="BC9" s="4"/>
      <c r="BD9" s="3">
        <v>-238734</v>
      </c>
      <c r="BE9" s="4"/>
      <c r="BG9" s="78">
        <f t="shared" si="0"/>
        <v>-3.3183094136717717E-2</v>
      </c>
      <c r="BH9" s="77">
        <f>B9/J9-1</f>
        <v>-0.16947316224918152</v>
      </c>
    </row>
    <row r="10" spans="1:63">
      <c r="A10" s="111" t="s">
        <v>171</v>
      </c>
      <c r="B10" s="66">
        <v>-23589</v>
      </c>
      <c r="C10" s="69"/>
      <c r="D10" s="66">
        <v>-3613</v>
      </c>
      <c r="E10" s="69"/>
      <c r="F10" s="66">
        <v>-12</v>
      </c>
      <c r="G10" s="69"/>
      <c r="H10" s="66">
        <v>-14</v>
      </c>
      <c r="I10" s="69"/>
      <c r="J10" s="66"/>
      <c r="K10" s="69"/>
      <c r="L10" s="66"/>
      <c r="M10" s="69"/>
      <c r="N10" s="66"/>
      <c r="O10" s="69"/>
      <c r="P10" s="66"/>
      <c r="Q10" s="69"/>
      <c r="R10" s="66"/>
      <c r="S10" s="69"/>
      <c r="T10" s="66"/>
      <c r="U10" s="69"/>
      <c r="V10" s="66"/>
      <c r="W10" s="69"/>
      <c r="X10" s="66"/>
      <c r="Y10" s="69"/>
      <c r="Z10" s="66"/>
      <c r="AA10" s="69"/>
      <c r="AB10" s="66"/>
      <c r="AC10" s="69"/>
      <c r="AD10" s="66"/>
      <c r="AE10" s="69"/>
      <c r="AF10" s="66"/>
      <c r="AG10" s="69"/>
      <c r="AH10" s="66"/>
      <c r="AI10" s="69"/>
      <c r="AJ10" s="66"/>
      <c r="AK10" s="69"/>
      <c r="AL10" s="66"/>
      <c r="AM10" s="69"/>
      <c r="AN10" s="66"/>
      <c r="AO10" s="69"/>
      <c r="AP10" s="66"/>
      <c r="AQ10" s="69"/>
      <c r="AR10" s="66"/>
      <c r="AS10" s="69"/>
      <c r="AT10" s="66"/>
      <c r="AU10" s="69"/>
      <c r="AV10" s="66"/>
      <c r="AW10" s="4"/>
      <c r="AX10" s="66"/>
      <c r="AY10" s="4"/>
      <c r="AZ10" s="66"/>
      <c r="BA10" s="4"/>
      <c r="BB10" s="66"/>
      <c r="BC10" s="4"/>
      <c r="BD10" s="66"/>
      <c r="BE10" s="4"/>
      <c r="BG10" s="78">
        <f t="shared" si="0"/>
        <v>5.5289233324107387</v>
      </c>
      <c r="BH10" s="77"/>
    </row>
    <row r="11" spans="1:63">
      <c r="A11" s="52" t="s">
        <v>15</v>
      </c>
      <c r="B11" s="9">
        <f>SUM(B7:B10)</f>
        <v>-404467</v>
      </c>
      <c r="C11" s="4"/>
      <c r="D11" s="9">
        <f>SUM(D7:D10)</f>
        <v>-360648</v>
      </c>
      <c r="E11" s="4"/>
      <c r="F11" s="9">
        <f>SUM(F7:F10)</f>
        <v>-366505</v>
      </c>
      <c r="G11" s="4"/>
      <c r="H11" s="9">
        <f>SUM(H7:H10)</f>
        <v>-363621</v>
      </c>
      <c r="I11" s="4"/>
      <c r="J11" s="9">
        <f>SUM(J7:J9)</f>
        <v>-402071</v>
      </c>
      <c r="K11" s="4"/>
      <c r="L11" s="9">
        <f>SUM(L7:L9)</f>
        <v>-398104</v>
      </c>
      <c r="M11" s="4"/>
      <c r="N11" s="9">
        <f>SUM(N7:N9)</f>
        <v>-398510</v>
      </c>
      <c r="O11" s="4"/>
      <c r="P11" s="9">
        <f>SUM(P7:P9)</f>
        <v>-349206</v>
      </c>
      <c r="Q11" s="4"/>
      <c r="R11" s="9">
        <f>SUM(R7:R9)</f>
        <v>-381394</v>
      </c>
      <c r="S11" s="4"/>
      <c r="T11" s="9">
        <f>SUM(T7:T9)</f>
        <v>-398405</v>
      </c>
      <c r="U11" s="4"/>
      <c r="V11" s="9">
        <f>SUM(V7:V9)</f>
        <v>-426489</v>
      </c>
      <c r="W11" s="4"/>
      <c r="X11" s="9">
        <f>SUM(X7:X9)</f>
        <v>-417946</v>
      </c>
      <c r="Y11" s="4"/>
      <c r="Z11" s="9">
        <f>SUM(Z7:Z9)</f>
        <v>-463236</v>
      </c>
      <c r="AA11" s="4"/>
      <c r="AB11" s="9">
        <f>SUM(AB7:AB9)</f>
        <v>-444052</v>
      </c>
      <c r="AC11" s="4"/>
      <c r="AD11" s="9">
        <f>SUM(AD7:AD9)</f>
        <v>-422854</v>
      </c>
      <c r="AE11" s="4"/>
      <c r="AF11" s="9">
        <f>SUM(AF7:AF9)</f>
        <v>-397633</v>
      </c>
      <c r="AG11" s="4"/>
      <c r="AH11" s="9">
        <f>SUM(AH7:AH9)</f>
        <v>-438966</v>
      </c>
      <c r="AI11" s="4"/>
      <c r="AJ11" s="9">
        <f>SUM(AJ7:AJ9)</f>
        <v>-474968</v>
      </c>
      <c r="AK11" s="4"/>
      <c r="AL11" s="9">
        <f>SUM(AL7:AL9)</f>
        <v>-431980</v>
      </c>
      <c r="AM11" s="4"/>
      <c r="AN11" s="9">
        <f>SUM(AN7:AN9)</f>
        <v>-478044</v>
      </c>
      <c r="AO11" s="69"/>
      <c r="AP11" s="9">
        <f>SUM(AP7:AP9)</f>
        <v>-543456</v>
      </c>
      <c r="AQ11" s="69"/>
      <c r="AR11" s="9">
        <f>SUM(AR7:AR9)</f>
        <v>-453740</v>
      </c>
      <c r="AS11" s="69">
        <f>AR11/AR3</f>
        <v>-0.42857938976506249</v>
      </c>
      <c r="AT11" s="9">
        <f>SUM(AT7:AT9)</f>
        <v>-403812</v>
      </c>
      <c r="AU11" s="69"/>
      <c r="AV11" s="9">
        <f>SUM(AV7:AV9)</f>
        <v>-456996</v>
      </c>
      <c r="AW11" s="4">
        <f>AV11/AV3</f>
        <v>-0.53071249647253105</v>
      </c>
      <c r="AX11" s="9">
        <f>SUM(AX7:AX9)</f>
        <v>-359736</v>
      </c>
      <c r="AY11" s="4">
        <f>AX11/AX3</f>
        <v>-0.30380927044933431</v>
      </c>
      <c r="AZ11" s="9">
        <f>SUM(AZ7:AZ9)</f>
        <v>-362441</v>
      </c>
      <c r="BA11" s="4">
        <f>AZ11/AZ3</f>
        <v>-0.29661064109425817</v>
      </c>
      <c r="BB11" s="9">
        <f>SUM(BB7:BB9)</f>
        <v>-375930</v>
      </c>
      <c r="BC11" s="4">
        <f>BB11/BB3</f>
        <v>-0.29114596563837897</v>
      </c>
      <c r="BD11" s="9">
        <f>SUM(BD7:BD9)</f>
        <v>-391898</v>
      </c>
      <c r="BE11" s="4">
        <f>BD11/BD3</f>
        <v>-0.27494803041772808</v>
      </c>
      <c r="BG11" s="78">
        <f t="shared" si="0"/>
        <v>0.12150074310685222</v>
      </c>
      <c r="BH11" s="77">
        <f t="shared" ref="BH11:BH16" si="1">B11/J11-1</f>
        <v>5.959146518898395E-3</v>
      </c>
      <c r="BK11" s="88"/>
    </row>
    <row r="12" spans="1:63" ht="16.5">
      <c r="A12" s="51" t="s">
        <v>129</v>
      </c>
      <c r="B12" s="3">
        <f>B5+B11</f>
        <v>-362535</v>
      </c>
      <c r="C12" s="69">
        <f>B12/B3</f>
        <v>-0.61677220250632026</v>
      </c>
      <c r="D12" s="3">
        <f>D5+D11</f>
        <v>-273314</v>
      </c>
      <c r="E12" s="69">
        <f>D12/D3</f>
        <v>-0.40619018178791805</v>
      </c>
      <c r="F12" s="3">
        <f>F5+F11</f>
        <v>-237967</v>
      </c>
      <c r="G12" s="69">
        <f>F12/F3</f>
        <v>-0.39662158220622185</v>
      </c>
      <c r="H12" s="3">
        <f>H5+H11</f>
        <v>-196212</v>
      </c>
      <c r="I12" s="69">
        <f>H12/H3</f>
        <v>-0.35549773886827457</v>
      </c>
      <c r="J12" s="3">
        <f>J5+J11</f>
        <v>-205081</v>
      </c>
      <c r="K12" s="69">
        <f>J12/J3</f>
        <v>-0.3036779382933229</v>
      </c>
      <c r="L12" s="3">
        <f>L5+L11</f>
        <v>-143875</v>
      </c>
      <c r="M12" s="69">
        <f>L12/L3</f>
        <v>-0.16786765203471346</v>
      </c>
      <c r="N12" s="3">
        <f>N5+N11</f>
        <v>-143434</v>
      </c>
      <c r="O12" s="69">
        <f>N12/N3</f>
        <v>-0.15942318935296643</v>
      </c>
      <c r="P12" s="3">
        <f>P5+P11</f>
        <v>-142768</v>
      </c>
      <c r="Q12" s="69">
        <f>P12/P3</f>
        <v>-0.18910720861292946</v>
      </c>
      <c r="R12" s="3">
        <f>R5+R11</f>
        <v>-83606</v>
      </c>
      <c r="S12" s="69">
        <f>R12/R3</f>
        <v>-0.10054913204424806</v>
      </c>
      <c r="T12" s="3">
        <f>T5+T11</f>
        <v>-114139</v>
      </c>
      <c r="U12" s="69">
        <f>T12/T3</f>
        <v>-0.14431953388453578</v>
      </c>
      <c r="V12" s="3">
        <f>V5+V11</f>
        <v>-130698</v>
      </c>
      <c r="W12" s="69">
        <f>V12/V3</f>
        <v>-0.16406217637393192</v>
      </c>
      <c r="X12" s="3">
        <f>X5+X11</f>
        <v>-49450</v>
      </c>
      <c r="Y12" s="69">
        <f>X12/X3</f>
        <v>-5.0369956892688056E-2</v>
      </c>
      <c r="Z12" s="3">
        <f>Z5+Z11</f>
        <v>1366</v>
      </c>
      <c r="AA12" s="69">
        <f>Z12/Z3</f>
        <v>1.2296247754089449E-3</v>
      </c>
      <c r="AB12" s="3">
        <f>AB5+AB11</f>
        <v>-38967</v>
      </c>
      <c r="AC12" s="69">
        <f>AB12/AB3</f>
        <v>-4.0918398420682338E-2</v>
      </c>
      <c r="AD12" s="3">
        <f>AD5+AD11</f>
        <v>-167692</v>
      </c>
      <c r="AE12" s="69">
        <f>AD12/AD3-0.01</f>
        <v>-0.26466335603696367</v>
      </c>
      <c r="AF12" s="3">
        <f>AF5+AF11</f>
        <v>-17833</v>
      </c>
      <c r="AG12" s="69">
        <f>AF12/AF3</f>
        <v>-1.9599072415346912E-2</v>
      </c>
      <c r="AH12" s="3">
        <f>AH5+AH11</f>
        <v>1953</v>
      </c>
      <c r="AI12" s="69">
        <f>AH12/AH3</f>
        <v>1.7334652885336553E-3</v>
      </c>
      <c r="AJ12" s="3">
        <f>AJ5+AJ11</f>
        <v>122708</v>
      </c>
      <c r="AK12" s="69">
        <f>AJ12/AJ3</f>
        <v>8.791041889055258E-2</v>
      </c>
      <c r="AL12" s="3">
        <f>AL5+AL11</f>
        <v>42247</v>
      </c>
      <c r="AM12" s="69">
        <f>AL12/AL3</f>
        <v>4.1545299884943307E-2</v>
      </c>
      <c r="AN12" s="3">
        <f>AN5+AN11</f>
        <v>71533</v>
      </c>
      <c r="AO12" s="69">
        <f>AN12/AN3</f>
        <v>6.4558721334259897E-2</v>
      </c>
      <c r="AP12" s="3">
        <f t="shared" ref="AP12:AX12" si="2">AP5+AP11</f>
        <v>69647</v>
      </c>
      <c r="AQ12" s="69">
        <f>AP12/AP3</f>
        <v>5.4386437554418063E-2</v>
      </c>
      <c r="AR12" s="3">
        <f t="shared" si="2"/>
        <v>-12655</v>
      </c>
      <c r="AS12" s="69">
        <f t="shared" si="2"/>
        <v>-1.195325996711083E-2</v>
      </c>
      <c r="AT12" s="3">
        <f t="shared" si="2"/>
        <v>32169</v>
      </c>
      <c r="AU12" s="69">
        <f>AT12/AT3</f>
        <v>3.3678363203700233E-2</v>
      </c>
      <c r="AV12" s="3">
        <f t="shared" si="2"/>
        <v>-68956</v>
      </c>
      <c r="AW12" s="70">
        <f t="shared" si="2"/>
        <v>-8.0079061757126646E-2</v>
      </c>
      <c r="AX12" s="3">
        <f t="shared" si="2"/>
        <v>170251</v>
      </c>
      <c r="AY12" s="4"/>
      <c r="AZ12" s="3">
        <f>AZ5+AZ11</f>
        <v>211455</v>
      </c>
      <c r="BA12" s="69">
        <f>BA5+BA11</f>
        <v>0.17304831162199186</v>
      </c>
      <c r="BB12" s="3">
        <f>BB5+BB11</f>
        <v>251090</v>
      </c>
      <c r="BC12" s="69">
        <f>BC5+BC11</f>
        <v>0.19446131064863287</v>
      </c>
      <c r="BD12" s="3">
        <f>BD5+BD11</f>
        <v>300224</v>
      </c>
      <c r="BE12" s="4"/>
      <c r="BG12" s="78">
        <f t="shared" si="0"/>
        <v>0.32644138243924581</v>
      </c>
      <c r="BH12" s="77">
        <f t="shared" si="1"/>
        <v>0.76776493190495465</v>
      </c>
      <c r="BI12" s="78"/>
    </row>
    <row r="13" spans="1:63">
      <c r="A13" s="52" t="s">
        <v>130</v>
      </c>
      <c r="B13" s="7">
        <v>9689</v>
      </c>
      <c r="C13" s="70"/>
      <c r="D13" s="7">
        <v>17513</v>
      </c>
      <c r="E13" s="70"/>
      <c r="F13" s="7">
        <v>20822</v>
      </c>
      <c r="G13" s="70"/>
      <c r="H13" s="7">
        <v>10446</v>
      </c>
      <c r="I13" s="70"/>
      <c r="J13" s="7">
        <f>62529-L13-N13-P13</f>
        <v>18080</v>
      </c>
      <c r="K13" s="70"/>
      <c r="L13" s="7">
        <v>15780</v>
      </c>
      <c r="M13" s="70"/>
      <c r="N13" s="7">
        <f>19589+3986-3</f>
        <v>23572</v>
      </c>
      <c r="O13" s="70"/>
      <c r="P13" s="7">
        <f>11044-5944-3</f>
        <v>5097</v>
      </c>
      <c r="Q13" s="70"/>
      <c r="R13" s="7">
        <f>-248672-T13-V13-X13</f>
        <v>-300106</v>
      </c>
      <c r="S13" s="70"/>
      <c r="T13" s="7">
        <f>10637</f>
        <v>10637</v>
      </c>
      <c r="U13" s="70"/>
      <c r="V13" s="7">
        <v>21751</v>
      </c>
      <c r="W13" s="70"/>
      <c r="X13" s="7">
        <v>19046</v>
      </c>
      <c r="Y13" s="70"/>
      <c r="Z13" s="7">
        <v>24965</v>
      </c>
      <c r="AA13" s="70"/>
      <c r="AB13" s="7">
        <f>73336</f>
        <v>73336</v>
      </c>
      <c r="AC13" s="70"/>
      <c r="AD13" s="7">
        <v>11088</v>
      </c>
      <c r="AE13" s="70"/>
      <c r="AF13" s="7">
        <v>23393</v>
      </c>
      <c r="AG13" s="70"/>
      <c r="AH13" s="7">
        <f>74215-(AJ13+AL13+AN13)</f>
        <v>34982</v>
      </c>
      <c r="AI13" s="70"/>
      <c r="AJ13" s="7">
        <v>11432</v>
      </c>
      <c r="AK13" s="70"/>
      <c r="AL13" s="7">
        <v>6343</v>
      </c>
      <c r="AM13" s="70"/>
      <c r="AN13" s="7">
        <v>21458</v>
      </c>
      <c r="AO13" s="70"/>
      <c r="AP13" s="7">
        <v>26054</v>
      </c>
      <c r="AQ13" s="70"/>
      <c r="AR13" s="7">
        <v>8273</v>
      </c>
      <c r="AS13" s="70"/>
      <c r="AT13" s="7">
        <v>920731</v>
      </c>
      <c r="AU13" s="70"/>
      <c r="AV13" s="7">
        <v>28391</v>
      </c>
      <c r="AW13" s="25"/>
      <c r="AX13" s="80">
        <f>118795-71744-85616+15441-711</f>
        <v>-23835</v>
      </c>
      <c r="AY13" s="4"/>
      <c r="AZ13" s="7">
        <v>25270</v>
      </c>
      <c r="BA13" s="4"/>
      <c r="BB13" s="7">
        <v>14601</v>
      </c>
      <c r="BC13" s="4"/>
      <c r="BD13" s="7">
        <v>28001</v>
      </c>
      <c r="BE13" s="4"/>
      <c r="BG13" s="78">
        <f t="shared" si="0"/>
        <v>-0.44675384000456808</v>
      </c>
      <c r="BH13" s="77">
        <f t="shared" si="1"/>
        <v>-0.46410398230088501</v>
      </c>
    </row>
    <row r="14" spans="1:63">
      <c r="A14" s="52" t="s">
        <v>131</v>
      </c>
      <c r="B14" s="3">
        <f>B12+B13</f>
        <v>-352846</v>
      </c>
      <c r="C14" s="70"/>
      <c r="D14" s="3">
        <f>D12+D13</f>
        <v>-255801</v>
      </c>
      <c r="E14" s="70"/>
      <c r="F14" s="3">
        <f>F12+F13</f>
        <v>-217145</v>
      </c>
      <c r="G14" s="70"/>
      <c r="H14" s="3">
        <f>H12+H13</f>
        <v>-185766</v>
      </c>
      <c r="I14" s="70"/>
      <c r="J14" s="3">
        <f>J12+J13</f>
        <v>-187001</v>
      </c>
      <c r="K14" s="70"/>
      <c r="L14" s="3">
        <f>L12+L13</f>
        <v>-128095</v>
      </c>
      <c r="M14" s="70"/>
      <c r="N14" s="3">
        <f>N12+N13</f>
        <v>-119862</v>
      </c>
      <c r="O14" s="70"/>
      <c r="P14" s="3">
        <f>P12+P13</f>
        <v>-137671</v>
      </c>
      <c r="Q14" s="70"/>
      <c r="R14" s="3">
        <f>R12+R13</f>
        <v>-383712</v>
      </c>
      <c r="S14" s="70"/>
      <c r="T14" s="3">
        <f>T12+T13</f>
        <v>-103502</v>
      </c>
      <c r="U14" s="70"/>
      <c r="V14" s="3">
        <f>V12+V13</f>
        <v>-108947</v>
      </c>
      <c r="W14" s="70"/>
      <c r="X14" s="3">
        <f>X12+X13</f>
        <v>-30404</v>
      </c>
      <c r="Y14" s="70"/>
      <c r="Z14" s="3">
        <f>Z12+Z13</f>
        <v>26331</v>
      </c>
      <c r="AA14" s="70"/>
      <c r="AB14" s="3">
        <f>AB12+AB13</f>
        <v>34369</v>
      </c>
      <c r="AC14" s="70"/>
      <c r="AD14" s="3">
        <v>-156604</v>
      </c>
      <c r="AE14" s="70"/>
      <c r="AF14" s="3">
        <v>5560</v>
      </c>
      <c r="AG14" s="70"/>
      <c r="AH14" s="3">
        <f>AH12+AH13</f>
        <v>36935</v>
      </c>
      <c r="AI14" s="70"/>
      <c r="AJ14" s="3">
        <f>AJ12+AJ13</f>
        <v>134140</v>
      </c>
      <c r="AK14" s="70"/>
      <c r="AL14" s="3">
        <f>AL12+AL13</f>
        <v>48590</v>
      </c>
      <c r="AM14" s="70"/>
      <c r="AN14" s="3">
        <f>AN12+AN13</f>
        <v>92991</v>
      </c>
      <c r="AO14" s="70"/>
      <c r="AP14" s="3">
        <f>AP12+AP13</f>
        <v>95701</v>
      </c>
      <c r="AQ14" s="70"/>
      <c r="AR14" s="3">
        <f>AR12+AR13</f>
        <v>-4382</v>
      </c>
      <c r="AS14" s="70"/>
      <c r="AT14" s="3">
        <f>AT12+AT13</f>
        <v>952900</v>
      </c>
      <c r="AU14" s="70"/>
      <c r="AV14" s="3">
        <f>AV12+AV13</f>
        <v>-40565</v>
      </c>
      <c r="AW14" s="25"/>
      <c r="AX14" s="3">
        <f>AX12+AX13</f>
        <v>146416</v>
      </c>
      <c r="AY14" s="4"/>
      <c r="AZ14" s="3">
        <f>AZ12+AZ13</f>
        <v>236725</v>
      </c>
      <c r="BA14" s="4"/>
      <c r="BB14" s="3">
        <f>BB12+BB13</f>
        <v>265691</v>
      </c>
      <c r="BC14" s="4"/>
      <c r="BD14" s="3">
        <f>BD12+BD13</f>
        <v>328225</v>
      </c>
      <c r="BE14" s="4"/>
      <c r="BG14" s="78">
        <f t="shared" si="0"/>
        <v>0.37937693754129187</v>
      </c>
      <c r="BH14" s="77">
        <f t="shared" si="1"/>
        <v>0.88686691515018645</v>
      </c>
    </row>
    <row r="15" spans="1:63">
      <c r="A15" s="52" t="s">
        <v>132</v>
      </c>
      <c r="B15" s="3">
        <v>66959</v>
      </c>
      <c r="C15" s="70"/>
      <c r="D15" s="3">
        <v>49447</v>
      </c>
      <c r="E15" s="70"/>
      <c r="F15" s="3">
        <v>43438</v>
      </c>
      <c r="G15" s="70"/>
      <c r="H15" s="3">
        <v>89462</v>
      </c>
      <c r="I15" s="70"/>
      <c r="J15" s="3">
        <f>103525-L15-N15-P15</f>
        <v>36650</v>
      </c>
      <c r="K15" s="70"/>
      <c r="L15" s="3">
        <v>22581</v>
      </c>
      <c r="M15" s="70"/>
      <c r="N15" s="3">
        <v>20590</v>
      </c>
      <c r="O15" s="70"/>
      <c r="P15" s="3">
        <v>23704</v>
      </c>
      <c r="Q15" s="70"/>
      <c r="R15" s="3">
        <f>51257-T15-V15-X15</f>
        <v>10265</v>
      </c>
      <c r="S15" s="70"/>
      <c r="T15" s="3">
        <v>20337</v>
      </c>
      <c r="U15" s="70"/>
      <c r="V15" s="3">
        <v>16126</v>
      </c>
      <c r="W15" s="70"/>
      <c r="X15" s="3">
        <v>4529</v>
      </c>
      <c r="Y15" s="70"/>
      <c r="Z15" s="3">
        <v>-8500</v>
      </c>
      <c r="AA15" s="70"/>
      <c r="AB15" s="3">
        <v>-3324</v>
      </c>
      <c r="AC15" s="70"/>
      <c r="AD15" s="3">
        <v>21197</v>
      </c>
      <c r="AE15" s="70"/>
      <c r="AF15" s="3">
        <v>-4937</v>
      </c>
      <c r="AG15" s="70"/>
      <c r="AH15" s="3">
        <f>-48006-(AJ15+AL15+AN15)</f>
        <v>-964</v>
      </c>
      <c r="AI15" s="70"/>
      <c r="AJ15" s="3">
        <v>-21890</v>
      </c>
      <c r="AK15" s="70"/>
      <c r="AL15" s="3">
        <v>-14910</v>
      </c>
      <c r="AM15" s="70"/>
      <c r="AN15" s="3">
        <v>-10242</v>
      </c>
      <c r="AO15" s="70"/>
      <c r="AP15" s="3">
        <v>-29406</v>
      </c>
      <c r="AQ15" s="70"/>
      <c r="AR15" s="3">
        <v>-39619</v>
      </c>
      <c r="AS15" s="70"/>
      <c r="AT15" s="3">
        <v>-36179</v>
      </c>
      <c r="AU15" s="70"/>
      <c r="AV15" s="3">
        <v>-7662</v>
      </c>
      <c r="AW15" s="25"/>
      <c r="AX15" s="3">
        <f>-209840+163943</f>
        <v>-45897</v>
      </c>
      <c r="AY15" s="4"/>
      <c r="AZ15" s="3">
        <v>-48393</v>
      </c>
      <c r="BA15" s="4"/>
      <c r="BB15" s="3">
        <v>-53018</v>
      </c>
      <c r="BC15" s="4"/>
      <c r="BD15" s="3">
        <v>-62532</v>
      </c>
      <c r="BE15" s="4"/>
      <c r="BG15" s="78">
        <f t="shared" si="0"/>
        <v>0.35415697615628861</v>
      </c>
      <c r="BH15" s="77">
        <f t="shared" si="1"/>
        <v>0.82698499317871765</v>
      </c>
    </row>
    <row r="16" spans="1:63" ht="16.5">
      <c r="A16" s="53" t="s">
        <v>133</v>
      </c>
      <c r="B16" s="9">
        <f>B14+B15</f>
        <v>-285887</v>
      </c>
      <c r="C16" s="4"/>
      <c r="D16" s="9">
        <f>D14+D15</f>
        <v>-206354</v>
      </c>
      <c r="E16" s="4"/>
      <c r="F16" s="9">
        <f>F14+F15</f>
        <v>-173707</v>
      </c>
      <c r="G16" s="4"/>
      <c r="H16" s="9">
        <f>H14+H15</f>
        <v>-96304</v>
      </c>
      <c r="I16" s="4"/>
      <c r="J16" s="9">
        <f>J14+J15</f>
        <v>-150351</v>
      </c>
      <c r="K16" s="4"/>
      <c r="L16" s="9">
        <f>L14+L15</f>
        <v>-105514</v>
      </c>
      <c r="M16" s="4"/>
      <c r="N16" s="9">
        <f>N14+N15</f>
        <v>-99272</v>
      </c>
      <c r="O16" s="4"/>
      <c r="P16" s="9">
        <f>P14+P15</f>
        <v>-113967</v>
      </c>
      <c r="Q16" s="4"/>
      <c r="R16" s="9">
        <f>R14+R15</f>
        <v>-373447</v>
      </c>
      <c r="S16" s="4"/>
      <c r="T16" s="9">
        <f>T14+T15</f>
        <v>-83165</v>
      </c>
      <c r="U16" s="4"/>
      <c r="V16" s="9">
        <f>V14+V15</f>
        <v>-92821</v>
      </c>
      <c r="W16" s="4"/>
      <c r="X16" s="9">
        <f>X14+X15</f>
        <v>-25875</v>
      </c>
      <c r="Y16" s="4"/>
      <c r="Z16" s="9">
        <f>Z14+Z15</f>
        <v>17831</v>
      </c>
      <c r="AA16" s="4"/>
      <c r="AB16" s="9">
        <f>AB14+AB15</f>
        <v>31045</v>
      </c>
      <c r="AC16" s="4"/>
      <c r="AD16" s="9">
        <f>AD14+AD15</f>
        <v>-135407</v>
      </c>
      <c r="AE16" s="4"/>
      <c r="AF16" s="9">
        <f>AF14+AF15</f>
        <v>623</v>
      </c>
      <c r="AG16" s="4"/>
      <c r="AH16" s="9">
        <f>AH14+AH15</f>
        <v>35971</v>
      </c>
      <c r="AI16" s="4"/>
      <c r="AJ16" s="9">
        <f>AJ14+AJ15</f>
        <v>112250</v>
      </c>
      <c r="AK16" s="4"/>
      <c r="AL16" s="9">
        <f>AL14+AL15</f>
        <v>33680</v>
      </c>
      <c r="AM16" s="4"/>
      <c r="AN16" s="9">
        <f>AN14+AN15</f>
        <v>82749</v>
      </c>
      <c r="AO16" s="69"/>
      <c r="AP16" s="9">
        <f>AP14+AP15</f>
        <v>66295</v>
      </c>
      <c r="AQ16" s="69">
        <f>AP16/AP3</f>
        <v>5.1768904298392544E-2</v>
      </c>
      <c r="AR16" s="9">
        <f>AR14+AR15</f>
        <v>-44001</v>
      </c>
      <c r="AS16" s="69">
        <f>AR16/AR3</f>
        <v>-4.1561074027091534E-2</v>
      </c>
      <c r="AT16" s="9">
        <f>AT14+AT15</f>
        <v>916721</v>
      </c>
      <c r="AU16" s="69"/>
      <c r="AV16" s="9">
        <f>AV14+AV15</f>
        <v>-48227</v>
      </c>
      <c r="AW16" s="25">
        <f>AV16/AV3</f>
        <v>-5.6006336089114026E-2</v>
      </c>
      <c r="AX16" s="81">
        <f>AX14+AX15</f>
        <v>100519</v>
      </c>
      <c r="AY16" s="4">
        <f>AX16/AX3</f>
        <v>8.4891709632332141E-2</v>
      </c>
      <c r="AZ16" s="9">
        <f>AZ14+AZ15</f>
        <v>188332</v>
      </c>
      <c r="BA16" s="4">
        <f>AZ16/AZ3</f>
        <v>0.15412515487641804</v>
      </c>
      <c r="BB16" s="9">
        <f>BB14+BB15</f>
        <v>212673</v>
      </c>
      <c r="BC16" s="4">
        <f>BB16/BB3</f>
        <v>0.16470855199162335</v>
      </c>
      <c r="BD16" s="9">
        <f>BD14+BD15</f>
        <v>265693</v>
      </c>
      <c r="BE16" s="4">
        <f>BD16/BD3</f>
        <v>0.18640505194151905</v>
      </c>
      <c r="BG16" s="78">
        <f t="shared" si="0"/>
        <v>0.38542020023842527</v>
      </c>
      <c r="BH16" s="77">
        <f t="shared" si="1"/>
        <v>0.9014639077891069</v>
      </c>
    </row>
    <row r="17" spans="1:60">
      <c r="A17" s="52"/>
      <c r="B17" s="8"/>
      <c r="C17" s="69"/>
      <c r="D17" s="8"/>
      <c r="E17" s="69"/>
      <c r="F17" s="8"/>
      <c r="G17" s="69"/>
      <c r="H17" s="8"/>
      <c r="I17" s="69"/>
      <c r="J17" s="8"/>
      <c r="K17" s="69"/>
      <c r="L17" s="8"/>
      <c r="M17" s="69"/>
      <c r="N17" s="8"/>
      <c r="O17" s="69"/>
      <c r="P17" s="8"/>
      <c r="Q17" s="69"/>
      <c r="R17" s="8"/>
      <c r="S17" s="69"/>
      <c r="T17" s="8"/>
      <c r="U17" s="69"/>
      <c r="V17" s="8"/>
      <c r="W17" s="69"/>
      <c r="X17" s="8"/>
      <c r="Y17" s="69"/>
      <c r="Z17" s="8"/>
      <c r="AA17" s="69"/>
      <c r="AB17" s="8"/>
      <c r="AC17" s="69"/>
      <c r="AD17" s="8"/>
      <c r="AE17" s="69"/>
      <c r="AF17" s="8"/>
      <c r="AG17" s="69"/>
      <c r="AH17" s="8"/>
      <c r="AI17" s="69"/>
      <c r="AJ17" s="8"/>
      <c r="AK17" s="69"/>
      <c r="AL17" s="8"/>
      <c r="AM17" s="69"/>
      <c r="AN17" s="8"/>
      <c r="AO17" s="69"/>
      <c r="AP17" s="8"/>
      <c r="AQ17" s="69"/>
      <c r="AR17" s="8"/>
      <c r="AS17" s="69"/>
      <c r="AT17" s="8"/>
      <c r="AU17" s="69"/>
      <c r="AV17" s="8"/>
      <c r="AW17" s="6"/>
      <c r="AX17" s="8"/>
      <c r="AY17" s="6"/>
      <c r="AZ17" s="8"/>
      <c r="BA17" s="6"/>
      <c r="BB17" s="8"/>
      <c r="BC17" s="6"/>
      <c r="BD17" s="8"/>
      <c r="BE17" s="6"/>
      <c r="BG17" s="94"/>
      <c r="BH17" s="77"/>
    </row>
    <row r="18" spans="1:60">
      <c r="B18" s="5"/>
      <c r="C18" s="69"/>
      <c r="D18" s="5"/>
      <c r="E18" s="69"/>
      <c r="F18" s="5"/>
      <c r="G18" s="69"/>
      <c r="H18" s="5"/>
      <c r="I18" s="69"/>
      <c r="J18" s="5"/>
      <c r="K18" s="69"/>
      <c r="L18" s="5"/>
      <c r="M18" s="69"/>
      <c r="N18" s="5"/>
      <c r="O18" s="69"/>
      <c r="P18" s="5"/>
      <c r="Q18" s="69"/>
      <c r="R18" s="5"/>
      <c r="S18" s="69"/>
      <c r="T18" s="5"/>
      <c r="U18" s="69"/>
      <c r="V18" s="5"/>
      <c r="W18" s="69"/>
      <c r="X18" s="5"/>
      <c r="Y18" s="69"/>
      <c r="Z18" s="5"/>
      <c r="AA18" s="69"/>
      <c r="AB18" s="5"/>
      <c r="AC18" s="69"/>
      <c r="AD18" s="5"/>
      <c r="AE18" s="69"/>
      <c r="AF18" s="5"/>
      <c r="AG18" s="69"/>
      <c r="AH18" s="5"/>
      <c r="AI18" s="69"/>
      <c r="AJ18" s="5"/>
      <c r="AK18" s="69"/>
      <c r="AL18" s="5"/>
      <c r="AM18" s="69"/>
      <c r="AN18" s="5"/>
      <c r="AO18" s="69"/>
      <c r="AP18" s="5"/>
      <c r="AQ18" s="69"/>
      <c r="AR18" s="5"/>
      <c r="AS18" s="69"/>
      <c r="AT18" s="5"/>
      <c r="AU18" s="69"/>
      <c r="AV18" s="5"/>
      <c r="AW18" s="6"/>
      <c r="AX18" s="5"/>
      <c r="AY18" s="6"/>
      <c r="AZ18" s="5"/>
      <c r="BA18" s="6"/>
      <c r="BB18" s="5"/>
      <c r="BC18" s="6"/>
      <c r="BD18" s="5"/>
      <c r="BE18" s="6"/>
      <c r="BG18" s="94"/>
      <c r="BH18" s="87"/>
    </row>
    <row r="19" spans="1:60">
      <c r="A19" s="52" t="s">
        <v>16</v>
      </c>
      <c r="B19" s="106">
        <v>-0.96</v>
      </c>
      <c r="C19" s="69"/>
      <c r="D19" s="106">
        <v>-0.7</v>
      </c>
      <c r="E19" s="69"/>
      <c r="F19" s="106">
        <f>-0.59</f>
        <v>-0.59</v>
      </c>
      <c r="G19" s="69"/>
      <c r="H19" s="106">
        <f>-0.33</f>
        <v>-0.33</v>
      </c>
      <c r="I19" s="69"/>
      <c r="J19" s="106">
        <f>-1.6-L19-N19-P19</f>
        <v>-0.51000000000000012</v>
      </c>
      <c r="K19" s="69"/>
      <c r="L19" s="106">
        <v>-0.36</v>
      </c>
      <c r="M19" s="69"/>
      <c r="N19" s="106">
        <v>-0.34</v>
      </c>
      <c r="O19" s="69"/>
      <c r="P19" s="106">
        <v>-0.39</v>
      </c>
      <c r="Q19" s="69"/>
      <c r="R19" s="106">
        <f>-1.95-T19-V19-X19</f>
        <v>-1.2699999999999998</v>
      </c>
      <c r="S19" s="69"/>
      <c r="T19" s="106">
        <v>-0.28000000000000003</v>
      </c>
      <c r="U19" s="69"/>
      <c r="V19" s="106">
        <v>-0.31</v>
      </c>
      <c r="W19" s="69"/>
      <c r="X19" s="106">
        <v>-0.09</v>
      </c>
      <c r="Y19" s="69"/>
      <c r="Z19" s="106">
        <v>0.06</v>
      </c>
      <c r="AA19" s="69"/>
      <c r="AB19" s="95">
        <v>0.11</v>
      </c>
      <c r="AC19" s="69"/>
      <c r="AD19" s="95">
        <v>-0.46</v>
      </c>
      <c r="AE19" s="69"/>
      <c r="AF19" s="11">
        <v>0</v>
      </c>
      <c r="AG19" s="69"/>
      <c r="AH19" s="11">
        <f>0.9-(AJ19+AL19+AN19)</f>
        <v>0.12</v>
      </c>
      <c r="AI19" s="69"/>
      <c r="AJ19" s="11">
        <v>0.38</v>
      </c>
      <c r="AK19" s="69"/>
      <c r="AL19" s="11">
        <v>0.12</v>
      </c>
      <c r="AM19" s="69"/>
      <c r="AN19" s="11">
        <v>0.28000000000000003</v>
      </c>
      <c r="AO19" s="69"/>
      <c r="AP19" s="11">
        <v>0.23</v>
      </c>
      <c r="AQ19" s="69"/>
      <c r="AR19" s="11">
        <v>-0.15</v>
      </c>
      <c r="AS19" s="69"/>
      <c r="AT19" s="11">
        <v>3.13</v>
      </c>
      <c r="AU19" s="69"/>
      <c r="AV19" s="11">
        <v>-0.16</v>
      </c>
      <c r="AW19" s="6"/>
      <c r="AX19" s="82">
        <f>2.62-2.28</f>
        <v>0.3400000000000003</v>
      </c>
      <c r="AY19" s="6"/>
      <c r="AZ19" s="11">
        <v>0.64</v>
      </c>
      <c r="BA19" s="6"/>
      <c r="BB19" s="11">
        <v>0.73</v>
      </c>
      <c r="BC19" s="6"/>
      <c r="BD19" s="11">
        <v>0.91</v>
      </c>
      <c r="BE19" s="6"/>
      <c r="BG19" s="94"/>
      <c r="BH19" s="87"/>
    </row>
    <row r="20" spans="1:60">
      <c r="B20" s="10"/>
      <c r="C20" s="69"/>
      <c r="D20" s="10"/>
      <c r="E20" s="69"/>
      <c r="F20" s="10"/>
      <c r="G20" s="69"/>
      <c r="H20" s="10"/>
      <c r="I20" s="69"/>
      <c r="J20" s="10"/>
      <c r="K20" s="69"/>
      <c r="L20" s="10"/>
      <c r="M20" s="69"/>
      <c r="N20" s="10"/>
      <c r="O20" s="69"/>
      <c r="P20" s="10"/>
      <c r="Q20" s="69"/>
      <c r="R20" s="10"/>
      <c r="S20" s="69"/>
      <c r="T20" s="10"/>
      <c r="U20" s="69"/>
      <c r="V20" s="10"/>
      <c r="W20" s="69"/>
      <c r="X20" s="10"/>
      <c r="Y20" s="69"/>
      <c r="Z20" s="10"/>
      <c r="AA20" s="69"/>
      <c r="AB20" s="10"/>
      <c r="AC20" s="69"/>
      <c r="AD20" s="10"/>
      <c r="AE20" s="69"/>
      <c r="AF20" s="10"/>
      <c r="AG20" s="69"/>
      <c r="AH20" s="10"/>
      <c r="AI20" s="69"/>
      <c r="AJ20" s="10"/>
      <c r="AK20" s="69"/>
      <c r="AL20" s="10"/>
      <c r="AM20" s="69"/>
      <c r="AN20" s="10"/>
      <c r="AO20" s="69"/>
      <c r="AP20" s="10"/>
      <c r="AQ20" s="69"/>
      <c r="AR20" s="10"/>
      <c r="AS20" s="69"/>
      <c r="AT20" s="10"/>
      <c r="AU20" s="69"/>
      <c r="AV20" s="10"/>
      <c r="AX20" s="10"/>
      <c r="AZ20" s="10"/>
      <c r="BB20" s="10"/>
      <c r="BD20" s="10"/>
      <c r="BG20" s="94"/>
      <c r="BH20" s="87"/>
    </row>
    <row r="21" spans="1:60" hidden="1">
      <c r="BH21" s="87"/>
    </row>
    <row r="22" spans="1:60" hidden="1"/>
  </sheetData>
  <customSheetViews>
    <customSheetView guid="{6CC4FA47-4F74-48A0-8033-8683B05A3BC4}" topLeftCell="A7">
      <selection activeCell="B17" sqref="B1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293A8923-ED08-4701-85A2-A97D5F3D44EF}" fitToPage="1" printArea="1" hiddenRows="1" hiddenColumns="1">
      <selection activeCell="AL11" sqref="AL11"/>
      <pageMargins left="0.70866141732283472" right="0.70866141732283472" top="0.74803149606299213" bottom="0.74803149606299213" header="0.31496062992125984" footer="0.31496062992125984"/>
      <pageSetup paperSize="9" scale="77" orientation="landscape" r:id="rId2"/>
    </customSheetView>
  </customSheetViews>
  <mergeCells count="28">
    <mergeCell ref="Z2:AA2"/>
    <mergeCell ref="AB2:AC2"/>
    <mergeCell ref="AD2:AE2"/>
    <mergeCell ref="F2:G2"/>
    <mergeCell ref="H2:I2"/>
    <mergeCell ref="R2:S2"/>
    <mergeCell ref="T2:U2"/>
    <mergeCell ref="V2:W2"/>
    <mergeCell ref="J2:K2"/>
    <mergeCell ref="L2:M2"/>
    <mergeCell ref="N2:O2"/>
    <mergeCell ref="P2:Q2"/>
    <mergeCell ref="B2:C2"/>
    <mergeCell ref="BD2:BE2"/>
    <mergeCell ref="AT2:AU2"/>
    <mergeCell ref="BB2:BC2"/>
    <mergeCell ref="AP2:AQ2"/>
    <mergeCell ref="AR2:AS2"/>
    <mergeCell ref="AH2:AI2"/>
    <mergeCell ref="AZ2:BA2"/>
    <mergeCell ref="AV2:AW2"/>
    <mergeCell ref="AX2:AY2"/>
    <mergeCell ref="AJ2:AK2"/>
    <mergeCell ref="AL2:AM2"/>
    <mergeCell ref="AN2:AO2"/>
    <mergeCell ref="D2:E2"/>
    <mergeCell ref="AF2:AG2"/>
    <mergeCell ref="X2:Y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>&amp;L&amp;G</oddHeader>
    <oddFooter>&amp;R&amp;"Arial,Bold Italic"&amp;10&amp;K008E94Strictly Confidential</oddFooter>
  </headerFooter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Normal="10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D63" sqref="D63"/>
    </sheetView>
  </sheetViews>
  <sheetFormatPr defaultColWidth="9" defaultRowHeight="15.75"/>
  <cols>
    <col min="1" max="1" width="46.875" style="20" customWidth="1"/>
    <col min="2" max="2" width="19.375" style="19" customWidth="1"/>
    <col min="3" max="3" width="2.125" style="18" customWidth="1"/>
    <col min="4" max="4" width="19.375" style="19" customWidth="1"/>
    <col min="5" max="5" width="2.125" style="18" customWidth="1"/>
    <col min="6" max="6" width="18.875" style="19" hidden="1" customWidth="1"/>
    <col min="7" max="7" width="2.125" style="18" hidden="1" customWidth="1"/>
    <col min="8" max="8" width="18.875" style="19" hidden="1" customWidth="1"/>
    <col min="9" max="9" width="2.125" style="18" hidden="1" customWidth="1"/>
    <col min="10" max="10" width="18.875" style="19" hidden="1" customWidth="1"/>
    <col min="11" max="11" width="0" style="12" hidden="1" customWidth="1"/>
    <col min="12" max="12" width="18.875" style="19" hidden="1" customWidth="1"/>
    <col min="13" max="13" width="0" style="12" hidden="1" customWidth="1"/>
    <col min="14" max="16384" width="9" style="12"/>
  </cols>
  <sheetData>
    <row r="1" spans="1:12" ht="76.5" customHeight="1"/>
    <row r="2" spans="1:12">
      <c r="A2" s="56" t="s">
        <v>35</v>
      </c>
    </row>
    <row r="3" spans="1:12" ht="17.25" thickBot="1">
      <c r="A3" s="55" t="s">
        <v>36</v>
      </c>
      <c r="B3" s="57">
        <v>43465</v>
      </c>
      <c r="C3" s="22"/>
      <c r="D3" s="57">
        <v>43100</v>
      </c>
      <c r="E3" s="22"/>
      <c r="F3" s="57">
        <v>42735</v>
      </c>
      <c r="G3" s="22"/>
      <c r="H3" s="57">
        <v>42369</v>
      </c>
      <c r="I3" s="22"/>
      <c r="J3" s="57">
        <v>42004</v>
      </c>
      <c r="L3" s="57">
        <v>41639</v>
      </c>
    </row>
    <row r="4" spans="1:12">
      <c r="A4" s="54" t="s">
        <v>118</v>
      </c>
      <c r="B4" s="27">
        <f>716824+414402+1225679</f>
        <v>2356905</v>
      </c>
      <c r="C4" s="23"/>
      <c r="D4" s="27">
        <f>707736+424420+32238+1738948</f>
        <v>2903342</v>
      </c>
      <c r="E4" s="23"/>
      <c r="F4" s="27">
        <f>1055280+141085+31058+41618+2296317</f>
        <v>3565358</v>
      </c>
      <c r="G4" s="23"/>
      <c r="H4" s="27">
        <f>674166+258997+50932+3001141</f>
        <v>3985236</v>
      </c>
      <c r="I4" s="23"/>
      <c r="J4" s="27">
        <f>418878+129338+52911+3515319</f>
        <v>4116446</v>
      </c>
      <c r="L4" s="27">
        <v>4716636</v>
      </c>
    </row>
    <row r="5" spans="1:12">
      <c r="A5" s="54" t="s">
        <v>21</v>
      </c>
      <c r="B5" s="90">
        <v>222324</v>
      </c>
      <c r="C5" s="23"/>
      <c r="D5" s="90">
        <f>281223</f>
        <v>281223</v>
      </c>
      <c r="E5" s="23"/>
      <c r="F5" s="90">
        <f>238759</f>
        <v>238759</v>
      </c>
      <c r="G5" s="23"/>
      <c r="H5" s="90">
        <v>262039</v>
      </c>
      <c r="I5" s="23"/>
      <c r="J5" s="90">
        <v>164134</v>
      </c>
      <c r="L5" s="90">
        <v>593461</v>
      </c>
    </row>
    <row r="6" spans="1:12">
      <c r="A6" s="54" t="s">
        <v>22</v>
      </c>
      <c r="B6" s="27">
        <v>294158</v>
      </c>
      <c r="C6" s="23"/>
      <c r="D6" s="27">
        <v>588499</v>
      </c>
      <c r="E6" s="23"/>
      <c r="F6" s="27">
        <v>552363</v>
      </c>
      <c r="G6" s="23"/>
      <c r="H6" s="27">
        <v>448137</v>
      </c>
      <c r="I6" s="23"/>
      <c r="J6" s="112">
        <v>512045</v>
      </c>
      <c r="K6" s="113"/>
      <c r="L6" s="112">
        <v>386480</v>
      </c>
    </row>
    <row r="7" spans="1:12">
      <c r="A7" s="54" t="s">
        <v>23</v>
      </c>
      <c r="B7" s="90">
        <f>179774+9612+11861</f>
        <v>201247</v>
      </c>
      <c r="C7" s="23"/>
      <c r="D7" s="90">
        <f>238724+4941+17046</f>
        <v>260711</v>
      </c>
      <c r="E7" s="23"/>
      <c r="F7" s="90">
        <f>283628+7942+31451</f>
        <v>323021</v>
      </c>
      <c r="G7" s="23"/>
      <c r="H7" s="90">
        <f>427104+49184</f>
        <v>476288</v>
      </c>
      <c r="I7" s="23"/>
      <c r="J7" s="90">
        <f>457267+108434</f>
        <v>565701</v>
      </c>
      <c r="L7" s="90">
        <v>109552</v>
      </c>
    </row>
    <row r="8" spans="1:12" ht="16.5">
      <c r="A8" s="55" t="s">
        <v>24</v>
      </c>
      <c r="B8" s="27">
        <f>SUM(B4:B7)</f>
        <v>3074634</v>
      </c>
      <c r="C8" s="23"/>
      <c r="D8" s="27">
        <f>SUM(D4:D7)</f>
        <v>4033775</v>
      </c>
      <c r="E8" s="23"/>
      <c r="F8" s="27">
        <f>SUM(F4:F7)</f>
        <v>4679501</v>
      </c>
      <c r="G8" s="23"/>
      <c r="H8" s="27">
        <f>SUM(H4:H7)</f>
        <v>5171700</v>
      </c>
      <c r="I8" s="23"/>
      <c r="J8" s="27">
        <f>SUM(J4:J7)</f>
        <v>5358326</v>
      </c>
      <c r="L8" s="27">
        <v>5806129</v>
      </c>
    </row>
    <row r="9" spans="1:12">
      <c r="A9" s="54" t="s">
        <v>165</v>
      </c>
      <c r="B9" s="27">
        <f>56031+17781</f>
        <v>73812</v>
      </c>
      <c r="C9" s="23"/>
      <c r="D9" s="27">
        <f>57010+18199</f>
        <v>75209</v>
      </c>
      <c r="E9" s="23"/>
      <c r="F9" s="27">
        <v>60410</v>
      </c>
      <c r="G9" s="23"/>
      <c r="H9" s="27">
        <f>68489+45224+810</f>
        <v>114523</v>
      </c>
      <c r="I9" s="23"/>
      <c r="J9" s="27">
        <f>44444+46306+4871</f>
        <v>95621</v>
      </c>
      <c r="L9" s="27">
        <v>58248</v>
      </c>
    </row>
    <row r="10" spans="1:12">
      <c r="A10" s="54" t="s">
        <v>25</v>
      </c>
      <c r="B10" s="27">
        <f>476488+132964</f>
        <v>609452</v>
      </c>
      <c r="C10" s="23"/>
      <c r="D10" s="27">
        <f>483294+133899</f>
        <v>617193</v>
      </c>
      <c r="E10" s="23"/>
      <c r="F10" s="27">
        <f>506418+134833</f>
        <v>641251</v>
      </c>
      <c r="G10" s="23"/>
      <c r="H10" s="27">
        <f>541020+135767</f>
        <v>676787</v>
      </c>
      <c r="I10" s="23"/>
      <c r="J10" s="27">
        <v>685008</v>
      </c>
      <c r="L10" s="27">
        <v>702819</v>
      </c>
    </row>
    <row r="11" spans="1:12">
      <c r="A11" s="54" t="s">
        <v>26</v>
      </c>
      <c r="B11" s="27">
        <v>126197</v>
      </c>
      <c r="C11" s="23"/>
      <c r="D11" s="27">
        <v>175351</v>
      </c>
      <c r="E11" s="23"/>
      <c r="F11" s="27">
        <v>170971</v>
      </c>
      <c r="G11" s="23"/>
      <c r="H11" s="27">
        <f>319236+127616</f>
        <v>446852</v>
      </c>
      <c r="I11" s="23"/>
      <c r="J11" s="27">
        <f>319236+229189</f>
        <v>548425</v>
      </c>
      <c r="L11" s="27">
        <v>555299</v>
      </c>
    </row>
    <row r="12" spans="1:12">
      <c r="A12" s="54" t="s">
        <v>27</v>
      </c>
      <c r="B12" s="33">
        <f>572873+10528</f>
        <v>583401</v>
      </c>
      <c r="C12" s="23"/>
      <c r="D12" s="33">
        <f>318731+10434</f>
        <v>329165</v>
      </c>
      <c r="E12" s="23"/>
      <c r="F12" s="33">
        <f>214171+10971</f>
        <v>225142</v>
      </c>
      <c r="G12" s="23"/>
      <c r="H12" s="33">
        <f>159721+12478</f>
        <v>172199</v>
      </c>
      <c r="I12" s="23"/>
      <c r="J12" s="33">
        <f>141138+12047</f>
        <v>153185</v>
      </c>
      <c r="L12" s="33">
        <v>116283</v>
      </c>
    </row>
    <row r="13" spans="1:12" s="13" customFormat="1" ht="16.5">
      <c r="A13" s="55" t="s">
        <v>28</v>
      </c>
      <c r="B13" s="34">
        <f>SUM(B8:B12)</f>
        <v>4467496</v>
      </c>
      <c r="C13" s="24"/>
      <c r="D13" s="34">
        <f>SUM(D8:D12)</f>
        <v>5230693</v>
      </c>
      <c r="E13" s="24"/>
      <c r="F13" s="34">
        <f>SUM(F8:F12)</f>
        <v>5777275</v>
      </c>
      <c r="G13" s="24"/>
      <c r="H13" s="34">
        <f>SUM(H8:H12)</f>
        <v>6582061</v>
      </c>
      <c r="I13" s="24"/>
      <c r="J13" s="34">
        <f>SUM(J8:J12)</f>
        <v>6840565</v>
      </c>
      <c r="L13" s="34">
        <v>7238778</v>
      </c>
    </row>
    <row r="14" spans="1:12">
      <c r="A14" s="54"/>
      <c r="B14" s="35"/>
      <c r="C14" s="23"/>
      <c r="D14" s="35"/>
      <c r="E14" s="23"/>
      <c r="F14" s="35"/>
      <c r="G14" s="23"/>
      <c r="H14" s="35"/>
      <c r="I14" s="23"/>
      <c r="J14" s="35"/>
      <c r="L14" s="35"/>
    </row>
    <row r="15" spans="1:12">
      <c r="A15" s="54" t="s">
        <v>29</v>
      </c>
      <c r="B15" s="27">
        <v>405480</v>
      </c>
      <c r="C15" s="23"/>
      <c r="D15" s="27">
        <v>407748</v>
      </c>
      <c r="E15" s="23"/>
      <c r="F15" s="27">
        <v>448124</v>
      </c>
      <c r="G15" s="23"/>
      <c r="H15" s="27">
        <v>633629</v>
      </c>
      <c r="I15" s="23"/>
      <c r="J15" s="27">
        <v>511217</v>
      </c>
      <c r="L15" s="27">
        <v>492527</v>
      </c>
    </row>
    <row r="16" spans="1:12">
      <c r="A16" s="54" t="s">
        <v>30</v>
      </c>
      <c r="B16" s="27">
        <f>389309+8062+7275+6854+2864</f>
        <v>414364</v>
      </c>
      <c r="C16" s="23"/>
      <c r="D16" s="27">
        <f>398527+1573+7963+11225</f>
        <v>419288</v>
      </c>
      <c r="E16" s="23"/>
      <c r="F16" s="27">
        <f>386647+1231+11632+19990</f>
        <v>419500</v>
      </c>
      <c r="G16" s="23"/>
      <c r="H16" s="27">
        <f>358811+5053+7162+29340</f>
        <v>400366</v>
      </c>
      <c r="I16" s="23"/>
      <c r="J16" s="27">
        <f>419264+30038+7313+59797</f>
        <v>516412</v>
      </c>
      <c r="L16" s="27">
        <v>628245</v>
      </c>
    </row>
    <row r="17" spans="1:12">
      <c r="A17" s="105" t="s">
        <v>134</v>
      </c>
      <c r="B17" s="33">
        <v>6746</v>
      </c>
      <c r="C17" s="23"/>
      <c r="D17" s="33">
        <v>8218</v>
      </c>
      <c r="E17" s="23"/>
      <c r="F17" s="33">
        <v>17626</v>
      </c>
      <c r="G17" s="23"/>
      <c r="H17" s="33">
        <v>30148</v>
      </c>
      <c r="I17" s="23"/>
      <c r="J17" s="33">
        <v>38915</v>
      </c>
      <c r="L17" s="33">
        <v>23331</v>
      </c>
    </row>
    <row r="18" spans="1:12" s="13" customFormat="1" ht="16.5">
      <c r="A18" s="55" t="s">
        <v>31</v>
      </c>
      <c r="B18" s="34">
        <f>SUM(B15:B17)</f>
        <v>826590</v>
      </c>
      <c r="C18" s="24"/>
      <c r="D18" s="34">
        <f>SUM(D15:D17)</f>
        <v>835254</v>
      </c>
      <c r="E18" s="24"/>
      <c r="F18" s="34">
        <f>SUM(F15:F17)</f>
        <v>885250</v>
      </c>
      <c r="G18" s="24"/>
      <c r="H18" s="34">
        <f>SUM(H15:H17)</f>
        <v>1064143</v>
      </c>
      <c r="I18" s="24"/>
      <c r="J18" s="34">
        <f>SUM(J15:J17)</f>
        <v>1066544</v>
      </c>
      <c r="L18" s="34">
        <v>1144103</v>
      </c>
    </row>
    <row r="19" spans="1:12">
      <c r="A19" s="54"/>
      <c r="B19" s="35"/>
      <c r="C19" s="23"/>
      <c r="D19" s="35"/>
      <c r="E19" s="23"/>
      <c r="F19" s="35"/>
      <c r="G19" s="23"/>
      <c r="H19" s="35"/>
      <c r="I19" s="23"/>
      <c r="J19" s="35"/>
      <c r="L19" s="35"/>
    </row>
    <row r="20" spans="1:12" s="13" customFormat="1" ht="16.5">
      <c r="A20" s="55" t="s">
        <v>32</v>
      </c>
      <c r="B20" s="36">
        <v>3640906</v>
      </c>
      <c r="C20" s="24"/>
      <c r="D20" s="36">
        <v>4395439</v>
      </c>
      <c r="E20" s="24"/>
      <c r="F20" s="36">
        <v>4892025</v>
      </c>
      <c r="G20" s="24"/>
      <c r="H20" s="36">
        <v>5517918</v>
      </c>
      <c r="I20" s="24"/>
      <c r="J20" s="36">
        <v>5774021</v>
      </c>
      <c r="L20" s="36">
        <v>6094675</v>
      </c>
    </row>
    <row r="21" spans="1:12">
      <c r="A21" s="54"/>
      <c r="B21" s="35"/>
      <c r="C21" s="23"/>
      <c r="D21" s="35"/>
      <c r="E21" s="23"/>
      <c r="F21" s="35"/>
      <c r="G21" s="23"/>
      <c r="H21" s="35"/>
      <c r="I21" s="23"/>
      <c r="J21" s="35"/>
      <c r="L21" s="35"/>
    </row>
    <row r="22" spans="1:12" ht="16.5">
      <c r="A22" s="55" t="s">
        <v>33</v>
      </c>
      <c r="B22" s="37"/>
      <c r="D22" s="37"/>
      <c r="F22" s="37"/>
      <c r="H22" s="37"/>
      <c r="J22" s="37"/>
      <c r="L22" s="37"/>
    </row>
    <row r="23" spans="1:12">
      <c r="A23" s="54" t="s">
        <v>98</v>
      </c>
      <c r="B23" s="38">
        <f>B32</f>
        <v>38.090782840162866</v>
      </c>
      <c r="D23" s="38">
        <f>D32</f>
        <v>29.775609950481041</v>
      </c>
      <c r="F23" s="38">
        <f>F32</f>
        <v>26.875188194112816</v>
      </c>
      <c r="H23" s="38">
        <f>H32</f>
        <v>21.416654481931207</v>
      </c>
      <c r="J23" s="38">
        <v>29.750076655846982</v>
      </c>
      <c r="L23" s="38">
        <v>39.082731074227219</v>
      </c>
    </row>
    <row r="24" spans="1:12">
      <c r="A24" s="54" t="s">
        <v>97</v>
      </c>
      <c r="B24" s="38">
        <f>B39</f>
        <v>81.054146074166212</v>
      </c>
      <c r="D24" s="38">
        <f>D39</f>
        <v>91.546700147603971</v>
      </c>
      <c r="F24" s="38">
        <f>F39</f>
        <v>84.752597355276606</v>
      </c>
      <c r="H24" s="38">
        <f>H39</f>
        <v>82.387319553312182</v>
      </c>
      <c r="J24" s="38">
        <v>63.435615567683662</v>
      </c>
      <c r="L24" s="38">
        <v>58.255029273759092</v>
      </c>
    </row>
    <row r="25" spans="1:12">
      <c r="A25" s="54" t="s">
        <v>34</v>
      </c>
      <c r="B25" s="39">
        <f>(B4+B5+B6+B7)/(B15+B16)</f>
        <v>3.7502671239894418</v>
      </c>
      <c r="D25" s="39">
        <f>(D4+D5+D6+D7)/(D15+D16)</f>
        <v>4.8773874414173024</v>
      </c>
      <c r="F25" s="39">
        <f>(F4+F5+F6+F7)/(F15+F16)</f>
        <v>5.3934665246696722</v>
      </c>
      <c r="H25" s="39">
        <v>5.0016682865971305</v>
      </c>
      <c r="J25" s="39">
        <v>5.2142611779153762</v>
      </c>
      <c r="L25" s="39">
        <v>5.1804729240202292</v>
      </c>
    </row>
    <row r="27" spans="1:12">
      <c r="A27" s="20" t="s">
        <v>2</v>
      </c>
      <c r="B27" s="40">
        <f>年度簡明合併損益表!B5</f>
        <v>2412587</v>
      </c>
      <c r="D27" s="40">
        <f>年度簡明合併損益表!D5</f>
        <v>3187062</v>
      </c>
      <c r="F27" s="40">
        <f>年度簡明合併損益表!F5</f>
        <v>3400744</v>
      </c>
      <c r="H27" s="40">
        <f>年度簡明合併損益表!H5</f>
        <v>3631593</v>
      </c>
      <c r="J27" s="40">
        <v>4647395</v>
      </c>
      <c r="L27" s="40">
        <v>1280595</v>
      </c>
    </row>
    <row r="28" spans="1:12">
      <c r="A28" s="21" t="s">
        <v>4</v>
      </c>
      <c r="B28" s="40">
        <v>249552</v>
      </c>
      <c r="D28" s="40">
        <v>281223</v>
      </c>
      <c r="F28" s="40">
        <v>241627</v>
      </c>
      <c r="H28" s="40">
        <v>265059</v>
      </c>
      <c r="J28" s="40">
        <v>167238</v>
      </c>
      <c r="L28" s="40">
        <v>596288</v>
      </c>
    </row>
    <row r="29" spans="1:12">
      <c r="A29" s="21" t="s">
        <v>91</v>
      </c>
      <c r="B29" s="40">
        <v>222324</v>
      </c>
      <c r="D29" s="40">
        <v>281223</v>
      </c>
      <c r="F29" s="40">
        <v>238759</v>
      </c>
      <c r="H29" s="40">
        <v>262039</v>
      </c>
      <c r="J29" s="40">
        <v>164134</v>
      </c>
      <c r="L29" s="40">
        <v>593457</v>
      </c>
    </row>
    <row r="30" spans="1:12">
      <c r="A30" s="20" t="s">
        <v>5</v>
      </c>
      <c r="B30" s="40">
        <v>365</v>
      </c>
      <c r="D30" s="40">
        <v>365</v>
      </c>
      <c r="F30" s="40">
        <v>365</v>
      </c>
      <c r="H30" s="40">
        <v>365</v>
      </c>
      <c r="J30" s="40">
        <v>365</v>
      </c>
      <c r="L30" s="40">
        <v>92</v>
      </c>
    </row>
    <row r="31" spans="1:12">
      <c r="A31" s="20" t="s">
        <v>92</v>
      </c>
      <c r="B31" s="40">
        <f>B30/(B27/((B28+D28)/2))</f>
        <v>40.150443279351173</v>
      </c>
      <c r="D31" s="40">
        <f>D30/(D27/((D28+F28)/2))</f>
        <v>29.939839576387278</v>
      </c>
      <c r="F31" s="40">
        <f>F30/(F27/((F28+H28)/2))</f>
        <v>27.191166109533675</v>
      </c>
      <c r="H31" s="40">
        <f>H30/(H27/((H28+J28)/2))</f>
        <v>21.724406479470577</v>
      </c>
      <c r="J31" s="40">
        <f>J30/(J27/((J28+L28)/2))</f>
        <v>29.983140017149392</v>
      </c>
      <c r="L31" s="40">
        <v>39.421859370058449</v>
      </c>
    </row>
    <row r="32" spans="1:12">
      <c r="A32" s="20" t="s">
        <v>93</v>
      </c>
      <c r="B32" s="40">
        <f>B30/(B27/((B29+D29)/2))</f>
        <v>38.090782840162866</v>
      </c>
      <c r="D32" s="40">
        <f>D30/(D27/((D29+F29)/2))</f>
        <v>29.775609950481041</v>
      </c>
      <c r="F32" s="40">
        <f>F30/(F27/((F29+H29)/2))</f>
        <v>26.875188194112816</v>
      </c>
      <c r="H32" s="40">
        <f>H30/(H27/((H29+J29)/2))</f>
        <v>21.416654481931207</v>
      </c>
      <c r="J32" s="40">
        <f>J30/(J27/((J29+L29)/2))</f>
        <v>29.750076655846982</v>
      </c>
      <c r="L32" s="40">
        <v>39.082731074227219</v>
      </c>
    </row>
    <row r="33" spans="1:12">
      <c r="B33" s="40"/>
      <c r="D33" s="40"/>
      <c r="F33" s="40"/>
      <c r="H33" s="40"/>
      <c r="J33" s="40"/>
      <c r="L33" s="40"/>
    </row>
    <row r="34" spans="1:12">
      <c r="A34" s="20" t="s">
        <v>0</v>
      </c>
      <c r="B34" s="40">
        <f>-年度簡明合併損益表!B6</f>
        <v>1987374</v>
      </c>
      <c r="D34" s="40">
        <f>-年度簡明合併損益表!D6</f>
        <v>2274329</v>
      </c>
      <c r="F34" s="40">
        <f>-年度簡明合併損益表!F6</f>
        <v>2154403</v>
      </c>
      <c r="H34" s="40">
        <f>-年度簡明合併損益表!H6</f>
        <v>2126944</v>
      </c>
      <c r="J34" s="40">
        <v>2584996</v>
      </c>
      <c r="L34" s="40">
        <v>667492</v>
      </c>
    </row>
    <row r="35" spans="1:12">
      <c r="A35" s="21" t="s">
        <v>1</v>
      </c>
      <c r="B35" s="40">
        <v>741746</v>
      </c>
      <c r="D35" s="40">
        <v>752261</v>
      </c>
      <c r="F35" s="40">
        <v>657097</v>
      </c>
      <c r="H35" s="40">
        <v>532962</v>
      </c>
      <c r="J35" s="40">
        <v>643190</v>
      </c>
      <c r="L35" s="40">
        <v>475640</v>
      </c>
    </row>
    <row r="36" spans="1:12">
      <c r="A36" s="21" t="s">
        <v>96</v>
      </c>
      <c r="B36" s="40">
        <f>B6</f>
        <v>294158</v>
      </c>
      <c r="D36" s="40">
        <v>588499</v>
      </c>
      <c r="F36" s="40">
        <v>552363</v>
      </c>
      <c r="H36" s="40">
        <v>448137</v>
      </c>
      <c r="J36" s="40">
        <v>512045</v>
      </c>
      <c r="L36" s="40">
        <v>386480</v>
      </c>
    </row>
    <row r="37" spans="1:12">
      <c r="A37" s="20" t="s">
        <v>5</v>
      </c>
      <c r="B37" s="40">
        <v>365</v>
      </c>
      <c r="D37" s="40">
        <v>365</v>
      </c>
      <c r="F37" s="40">
        <v>365</v>
      </c>
      <c r="H37" s="40">
        <v>365</v>
      </c>
      <c r="J37" s="40">
        <f>J30</f>
        <v>365</v>
      </c>
      <c r="L37" s="40">
        <v>92</v>
      </c>
    </row>
    <row r="38" spans="1:12">
      <c r="A38" s="20" t="s">
        <v>94</v>
      </c>
      <c r="B38" s="40">
        <f>B37/(B34/((B35+D35)/2))</f>
        <v>137.19424602515681</v>
      </c>
      <c r="D38" s="40">
        <f>D37/(D34/((D35+F35)/2))</f>
        <v>113.09174486189114</v>
      </c>
      <c r="F38" s="40">
        <f>F37/(F34/((F35+H35)/2))</f>
        <v>100.81018616294166</v>
      </c>
      <c r="H38" s="40">
        <f>H37/(H34/((H35+J35)/2))</f>
        <v>100.91837866911399</v>
      </c>
      <c r="J38" s="40">
        <f>J37/(J34/((J35+L35)/2))</f>
        <v>78.989087410580126</v>
      </c>
      <c r="L38" s="40">
        <v>73.190839740401387</v>
      </c>
    </row>
    <row r="39" spans="1:12">
      <c r="A39" s="20" t="s">
        <v>95</v>
      </c>
      <c r="B39" s="40">
        <f>B37/(B34/AVERAGE(B36,D36))</f>
        <v>81.054146074166212</v>
      </c>
      <c r="D39" s="40">
        <f>D37/(D34/AVERAGE(D36,F36))</f>
        <v>91.546700147603971</v>
      </c>
      <c r="F39" s="40">
        <f>F37/(F34/AVERAGE(F36,H36))</f>
        <v>84.752597355276606</v>
      </c>
      <c r="H39" s="40">
        <f>H37/(H34/AVERAGE(H36,J36))</f>
        <v>82.387319553312182</v>
      </c>
      <c r="J39" s="40">
        <f>J37/(J34/AVERAGE(J36,L36))</f>
        <v>63.435615567683662</v>
      </c>
      <c r="L39" s="40">
        <v>58.255029273759092</v>
      </c>
    </row>
    <row r="40" spans="1:12">
      <c r="B40" s="40"/>
      <c r="D40" s="40"/>
      <c r="F40" s="40"/>
      <c r="H40" s="40"/>
      <c r="J40" s="40"/>
      <c r="L40" s="40"/>
    </row>
    <row r="41" spans="1:12">
      <c r="A41" s="20" t="s">
        <v>6</v>
      </c>
      <c r="B41" s="41">
        <f>B8/(B15+B16)</f>
        <v>3.7502671239894418</v>
      </c>
      <c r="D41" s="41">
        <f>D8/(D15+D16)</f>
        <v>4.8773874414173024</v>
      </c>
      <c r="F41" s="41">
        <f>F8/(F15+F16)</f>
        <v>5.3934665246696722</v>
      </c>
      <c r="H41" s="41">
        <f>H8/(H15+H16)</f>
        <v>5.0016682865971305</v>
      </c>
      <c r="J41" s="41">
        <f>J8/(J15+J16)</f>
        <v>5.2142611779153762</v>
      </c>
      <c r="L41" s="41">
        <v>5.1804729240202292</v>
      </c>
    </row>
    <row r="43" spans="1:12">
      <c r="B43" s="40"/>
      <c r="D43" s="40"/>
      <c r="F43" s="40"/>
      <c r="H43" s="40"/>
      <c r="J43" s="40"/>
      <c r="L43" s="40"/>
    </row>
    <row r="44" spans="1:12">
      <c r="A44" s="20" t="s">
        <v>0</v>
      </c>
      <c r="B44" s="40">
        <f>B34</f>
        <v>1987374</v>
      </c>
      <c r="D44" s="40">
        <f>D34</f>
        <v>2274329</v>
      </c>
      <c r="F44" s="40">
        <f>F34</f>
        <v>2154403</v>
      </c>
      <c r="H44" s="40">
        <f>H34</f>
        <v>2126944</v>
      </c>
      <c r="J44" s="40">
        <f>J34</f>
        <v>2584996</v>
      </c>
      <c r="L44" s="40">
        <v>667492</v>
      </c>
    </row>
    <row r="45" spans="1:12">
      <c r="A45" s="21" t="s">
        <v>3</v>
      </c>
      <c r="B45" s="40">
        <f>B15</f>
        <v>405480</v>
      </c>
      <c r="D45" s="40">
        <f>D15</f>
        <v>407748</v>
      </c>
      <c r="F45" s="40">
        <f>F15</f>
        <v>448124</v>
      </c>
      <c r="H45" s="40">
        <f>H15</f>
        <v>633629</v>
      </c>
      <c r="J45" s="40">
        <f>J15</f>
        <v>511217</v>
      </c>
      <c r="L45" s="40">
        <v>492527</v>
      </c>
    </row>
    <row r="46" spans="1:12">
      <c r="A46" s="20" t="s">
        <v>5</v>
      </c>
      <c r="B46" s="40">
        <f>B30</f>
        <v>365</v>
      </c>
      <c r="D46" s="40">
        <f>D30</f>
        <v>365</v>
      </c>
      <c r="F46" s="40">
        <f>F30</f>
        <v>365</v>
      </c>
      <c r="H46" s="40">
        <f>H30</f>
        <v>365</v>
      </c>
      <c r="J46" s="40">
        <f>J30</f>
        <v>365</v>
      </c>
      <c r="L46" s="40">
        <v>92</v>
      </c>
    </row>
    <row r="47" spans="1:12">
      <c r="A47" s="20" t="s">
        <v>7</v>
      </c>
      <c r="B47" s="40">
        <f>B46/(B44/((B45+D45)/2))</f>
        <v>74.678500372853819</v>
      </c>
      <c r="D47" s="40">
        <f>D46/(D44/((D45+F45)/2))</f>
        <v>68.678120008143054</v>
      </c>
      <c r="F47" s="40">
        <f>F46/(F44/((F45+H45)/2))</f>
        <v>91.635558667528784</v>
      </c>
      <c r="H47" s="40">
        <f>H46/(H44/((H45+J45)/2))</f>
        <v>98.23220310454812</v>
      </c>
      <c r="J47" s="40">
        <f>J46/(J44/((J45+L45)/2))</f>
        <v>70.864047758681252</v>
      </c>
      <c r="L47" s="40">
        <v>65.403411576468329</v>
      </c>
    </row>
    <row r="48" spans="1:12">
      <c r="B48" s="40"/>
      <c r="D48" s="40"/>
      <c r="F48" s="40"/>
      <c r="H48" s="40"/>
      <c r="J48" s="40"/>
      <c r="L48" s="40"/>
    </row>
  </sheetData>
  <phoneticPr fontId="1" type="noConversion"/>
  <pageMargins left="0.7" right="0.7" top="0.75" bottom="0.75" header="0.3" footer="0.3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8"/>
  <sheetViews>
    <sheetView zoomScaleNormal="100" workbookViewId="0">
      <selection activeCell="CB13" sqref="CB13"/>
    </sheetView>
  </sheetViews>
  <sheetFormatPr defaultColWidth="9" defaultRowHeight="15.75"/>
  <cols>
    <col min="1" max="1" width="46.875" style="20" customWidth="1"/>
    <col min="2" max="2" width="19.375" style="19" customWidth="1"/>
    <col min="3" max="3" width="2.875" style="18" customWidth="1"/>
    <col min="4" max="4" width="17.5" style="19" hidden="1" customWidth="1"/>
    <col min="5" max="5" width="2.875" style="18" hidden="1" customWidth="1"/>
    <col min="6" max="6" width="17.5" style="19" hidden="1" customWidth="1"/>
    <col min="7" max="7" width="2.875" style="18" hidden="1" customWidth="1"/>
    <col min="8" max="8" width="17.5" style="19" hidden="1" customWidth="1"/>
    <col min="9" max="9" width="2.125" style="18" hidden="1" customWidth="1"/>
    <col min="10" max="10" width="18.875" style="19" bestFit="1" customWidth="1"/>
    <col min="11" max="11" width="2.125" style="18" hidden="1" customWidth="1"/>
    <col min="12" max="12" width="17.5" style="19" hidden="1" customWidth="1"/>
    <col min="13" max="13" width="2.125" style="18" hidden="1" customWidth="1"/>
    <col min="14" max="14" width="17.5" style="19" hidden="1" customWidth="1"/>
    <col min="15" max="15" width="2.125" style="18" hidden="1" customWidth="1"/>
    <col min="16" max="16" width="17.5" style="19" hidden="1" customWidth="1"/>
    <col min="17" max="17" width="2.125" style="18" hidden="1" customWidth="1"/>
    <col min="18" max="18" width="18.875" style="19" hidden="1" customWidth="1"/>
    <col min="19" max="19" width="2.125" style="18" hidden="1" customWidth="1"/>
    <col min="20" max="20" width="17.5" style="19" hidden="1" customWidth="1"/>
    <col min="21" max="21" width="2.125" style="18" hidden="1" customWidth="1"/>
    <col min="22" max="22" width="17.5" style="19" hidden="1" customWidth="1"/>
    <col min="23" max="23" width="2.125" style="18" hidden="1" customWidth="1"/>
    <col min="24" max="24" width="17.5" style="19" hidden="1" customWidth="1"/>
    <col min="25" max="25" width="2.125" style="18" hidden="1" customWidth="1"/>
    <col min="26" max="26" width="18.875" style="19" hidden="1" customWidth="1"/>
    <col min="27" max="27" width="2.125" style="18" hidden="1" customWidth="1"/>
    <col min="28" max="28" width="17.5" style="19" hidden="1" customWidth="1"/>
    <col min="29" max="29" width="2.125" style="18" hidden="1" customWidth="1"/>
    <col min="30" max="30" width="17.5" style="19" hidden="1" customWidth="1"/>
    <col min="31" max="31" width="2.125" style="18" hidden="1" customWidth="1"/>
    <col min="32" max="32" width="17.5" style="19" hidden="1" customWidth="1"/>
    <col min="33" max="33" width="2.125" style="18" hidden="1" customWidth="1"/>
    <col min="34" max="34" width="18.875" style="19" hidden="1" customWidth="1"/>
    <col min="35" max="35" width="2.125" style="18" hidden="1" customWidth="1"/>
    <col min="36" max="36" width="17.5" style="19" hidden="1" customWidth="1"/>
    <col min="37" max="37" width="2.125" style="18" hidden="1" customWidth="1"/>
    <col min="38" max="38" width="17.5" style="19" hidden="1" customWidth="1"/>
    <col min="39" max="39" width="2.125" style="18" hidden="1" customWidth="1"/>
    <col min="40" max="40" width="17.5" style="19" hidden="1" customWidth="1"/>
    <col min="41" max="41" width="2.125" style="18" hidden="1" customWidth="1"/>
    <col min="42" max="42" width="18.875" style="19" hidden="1" customWidth="1"/>
    <col min="43" max="43" width="5.375" style="18" hidden="1" customWidth="1"/>
    <col min="44" max="44" width="17.5" style="19" hidden="1" customWidth="1"/>
    <col min="45" max="45" width="3.125" style="18" hidden="1" customWidth="1"/>
    <col min="46" max="46" width="17.5" style="19" hidden="1" customWidth="1"/>
    <col min="47" max="47" width="3.125" style="18" hidden="1" customWidth="1"/>
    <col min="48" max="48" width="17.5" style="19" hidden="1" customWidth="1"/>
    <col min="49" max="49" width="5.875" style="18" hidden="1" customWidth="1"/>
    <col min="50" max="50" width="18.875" style="19" hidden="1" customWidth="1"/>
    <col min="51" max="51" width="5.375" style="18" hidden="1" customWidth="1"/>
    <col min="52" max="52" width="17.5" style="20" hidden="1" customWidth="1"/>
    <col min="53" max="53" width="3.5" style="18" hidden="1" customWidth="1"/>
    <col min="54" max="54" width="17.5" style="20" hidden="1" customWidth="1"/>
    <col min="55" max="55" width="3.125" style="18" hidden="1" customWidth="1"/>
    <col min="56" max="56" width="17.5" style="20" hidden="1" customWidth="1"/>
    <col min="57" max="57" width="2.125" style="18" hidden="1" customWidth="1"/>
    <col min="58" max="79" width="0" style="12" hidden="1" customWidth="1"/>
    <col min="80" max="16384" width="9" style="12"/>
  </cols>
  <sheetData>
    <row r="1" spans="1:57" ht="76.5" customHeight="1"/>
    <row r="2" spans="1:57">
      <c r="A2" s="56" t="s">
        <v>35</v>
      </c>
    </row>
    <row r="3" spans="1:57" ht="17.25" thickBot="1">
      <c r="A3" s="55" t="s">
        <v>36</v>
      </c>
      <c r="B3" s="57">
        <v>43465</v>
      </c>
      <c r="C3" s="22"/>
      <c r="D3" s="57">
        <v>43373</v>
      </c>
      <c r="E3" s="22"/>
      <c r="F3" s="57">
        <v>43281</v>
      </c>
      <c r="G3" s="22"/>
      <c r="H3" s="57">
        <v>43190</v>
      </c>
      <c r="I3" s="22"/>
      <c r="J3" s="57">
        <v>43100</v>
      </c>
      <c r="K3" s="22"/>
      <c r="L3" s="57">
        <v>43008</v>
      </c>
      <c r="M3" s="22"/>
      <c r="N3" s="57">
        <v>42916</v>
      </c>
      <c r="O3" s="22"/>
      <c r="P3" s="57">
        <v>42825</v>
      </c>
      <c r="Q3" s="22"/>
      <c r="R3" s="57">
        <v>42735</v>
      </c>
      <c r="S3" s="22"/>
      <c r="T3" s="57">
        <v>42643</v>
      </c>
      <c r="U3" s="22"/>
      <c r="V3" s="57">
        <v>42551</v>
      </c>
      <c r="W3" s="22"/>
      <c r="X3" s="57">
        <v>42460</v>
      </c>
      <c r="Y3" s="22"/>
      <c r="Z3" s="57">
        <v>42369</v>
      </c>
      <c r="AA3" s="22"/>
      <c r="AB3" s="57">
        <v>42277</v>
      </c>
      <c r="AC3" s="22"/>
      <c r="AD3" s="57">
        <v>42185</v>
      </c>
      <c r="AE3" s="22"/>
      <c r="AF3" s="57">
        <v>42094</v>
      </c>
      <c r="AG3" s="22"/>
      <c r="AH3" s="57">
        <v>42004</v>
      </c>
      <c r="AI3" s="22"/>
      <c r="AJ3" s="57">
        <v>41912</v>
      </c>
      <c r="AK3" s="22"/>
      <c r="AL3" s="57">
        <v>41820</v>
      </c>
      <c r="AM3" s="22"/>
      <c r="AN3" s="57">
        <v>41729</v>
      </c>
      <c r="AO3" s="22"/>
      <c r="AP3" s="57">
        <v>41639</v>
      </c>
      <c r="AQ3" s="22"/>
      <c r="AR3" s="57">
        <v>41547</v>
      </c>
      <c r="AS3" s="26"/>
      <c r="AT3" s="57">
        <v>41455</v>
      </c>
      <c r="AU3" s="26"/>
      <c r="AV3" s="57">
        <v>41364</v>
      </c>
      <c r="AW3" s="26"/>
      <c r="AX3" s="57">
        <v>41274</v>
      </c>
      <c r="AY3" s="26"/>
      <c r="AZ3" s="57">
        <v>41182</v>
      </c>
      <c r="BA3" s="26"/>
      <c r="BB3" s="57">
        <v>41090</v>
      </c>
      <c r="BC3" s="26"/>
      <c r="BD3" s="57">
        <v>40999</v>
      </c>
      <c r="BE3" s="26"/>
    </row>
    <row r="4" spans="1:57" ht="15.6" customHeight="1">
      <c r="A4" s="54" t="s">
        <v>118</v>
      </c>
      <c r="B4" s="27">
        <f>716824+414402+1225679</f>
        <v>2356905</v>
      </c>
      <c r="C4" s="23"/>
      <c r="D4" s="27">
        <f>778373+412738+1205473</f>
        <v>2396584</v>
      </c>
      <c r="E4" s="23"/>
      <c r="F4" s="27">
        <f>590056+352941+1218736</f>
        <v>2161733</v>
      </c>
      <c r="G4" s="23"/>
      <c r="H4" s="27">
        <f>916402+526004+1247448</f>
        <v>2689854</v>
      </c>
      <c r="I4" s="23"/>
      <c r="J4" s="27">
        <f>707736+424420+32238+1738948</f>
        <v>2903342</v>
      </c>
      <c r="K4" s="23"/>
      <c r="L4" s="27">
        <f>501357+177645+32307+2268169</f>
        <v>2979478</v>
      </c>
      <c r="M4" s="23"/>
      <c r="N4" s="27">
        <f>707819+151106+32040+15215+2376746</f>
        <v>3282926</v>
      </c>
      <c r="O4" s="23"/>
      <c r="P4" s="27">
        <f>687162+135991+31920+22049+2388043</f>
        <v>3265165</v>
      </c>
      <c r="Q4" s="23"/>
      <c r="R4" s="27">
        <f>1055280+141085+31058+41618+2296317</f>
        <v>3565358</v>
      </c>
      <c r="S4" s="23"/>
      <c r="T4" s="27">
        <f>654063+183883+31359+42344+2664161</f>
        <v>3575810</v>
      </c>
      <c r="U4" s="23"/>
      <c r="V4" s="27">
        <f>697935+99556+1306+43766+2797426</f>
        <v>3639989</v>
      </c>
      <c r="W4" s="23"/>
      <c r="X4" s="27">
        <f>661814+264512+1286+2895665+19931</f>
        <v>3843208</v>
      </c>
      <c r="Y4" s="23"/>
      <c r="Z4" s="27">
        <f>674166+258997+50932+3001141</f>
        <v>3985236</v>
      </c>
      <c r="AA4" s="23"/>
      <c r="AB4" s="27">
        <f>775465+188706+52527+2787720</f>
        <v>3804418</v>
      </c>
      <c r="AC4" s="23"/>
      <c r="AD4" s="27">
        <f>593425+186995+50627+3066121</f>
        <v>3897168</v>
      </c>
      <c r="AE4" s="23"/>
      <c r="AF4" s="27">
        <f>736799+92761+51599+3287765</f>
        <v>4168924</v>
      </c>
      <c r="AG4" s="23"/>
      <c r="AH4" s="27">
        <f>418878+129338+52911+3515319</f>
        <v>4116446</v>
      </c>
      <c r="AI4" s="23"/>
      <c r="AJ4" s="27">
        <f>525368+24691+51211+3411377</f>
        <v>4012647</v>
      </c>
      <c r="AK4" s="23"/>
      <c r="AL4" s="27">
        <f>1401599+17266+50492+3270863</f>
        <v>4740220</v>
      </c>
      <c r="AM4" s="23"/>
      <c r="AN4" s="27">
        <f>760597+42+51019+4091600</f>
        <v>4903258</v>
      </c>
      <c r="AO4" s="23"/>
      <c r="AP4" s="27">
        <f>1577367+244+50561+3088464</f>
        <v>4716636</v>
      </c>
      <c r="AQ4" s="23"/>
      <c r="AR4" s="27">
        <f>1743180+1238+50318+2643544</f>
        <v>4438280</v>
      </c>
      <c r="AS4" s="23"/>
      <c r="AT4" s="27">
        <f>2381463+129+51364+2786850</f>
        <v>5219806</v>
      </c>
      <c r="AU4" s="23"/>
      <c r="AV4" s="27">
        <v>3625331</v>
      </c>
      <c r="AW4" s="23"/>
      <c r="AX4" s="27">
        <v>3614991</v>
      </c>
      <c r="AY4" s="23"/>
      <c r="AZ4" s="30">
        <f>1754179+3120+2881+2182065</f>
        <v>3942245</v>
      </c>
      <c r="BA4" s="23"/>
      <c r="BB4" s="30">
        <f>2006922+163+2786+2580689</f>
        <v>4590560</v>
      </c>
      <c r="BC4" s="23"/>
      <c r="BD4" s="30">
        <f>2665428+155+3017+1593159</f>
        <v>4261759</v>
      </c>
      <c r="BE4" s="23"/>
    </row>
    <row r="5" spans="1:57" ht="15.6" customHeight="1">
      <c r="A5" s="54" t="s">
        <v>21</v>
      </c>
      <c r="B5" s="90">
        <f>222324</f>
        <v>222324</v>
      </c>
      <c r="C5" s="23"/>
      <c r="D5" s="90">
        <v>239819</v>
      </c>
      <c r="E5" s="23"/>
      <c r="F5" s="90">
        <v>264140</v>
      </c>
      <c r="G5" s="23"/>
      <c r="H5" s="90">
        <v>137313</v>
      </c>
      <c r="I5" s="23"/>
      <c r="J5" s="90">
        <f>281223</f>
        <v>281223</v>
      </c>
      <c r="K5" s="23"/>
      <c r="L5" s="90">
        <v>270828</v>
      </c>
      <c r="M5" s="23"/>
      <c r="N5" s="90">
        <v>237798</v>
      </c>
      <c r="O5" s="23"/>
      <c r="P5" s="90">
        <v>272793</v>
      </c>
      <c r="Q5" s="23"/>
      <c r="R5" s="90">
        <f>238759</f>
        <v>238759</v>
      </c>
      <c r="S5" s="23"/>
      <c r="T5" s="90">
        <v>196525</v>
      </c>
      <c r="U5" s="23"/>
      <c r="V5" s="90">
        <v>187092</v>
      </c>
      <c r="W5" s="23"/>
      <c r="X5" s="90">
        <v>218925</v>
      </c>
      <c r="Y5" s="23"/>
      <c r="Z5" s="90">
        <v>262039</v>
      </c>
      <c r="AA5" s="23"/>
      <c r="AB5" s="90">
        <v>224347</v>
      </c>
      <c r="AC5" s="23"/>
      <c r="AD5" s="90">
        <v>155076</v>
      </c>
      <c r="AE5" s="23"/>
      <c r="AF5" s="90">
        <v>171856</v>
      </c>
      <c r="AG5" s="23"/>
      <c r="AH5" s="90">
        <v>164134</v>
      </c>
      <c r="AI5" s="23"/>
      <c r="AJ5" s="27">
        <v>284069</v>
      </c>
      <c r="AK5" s="23"/>
      <c r="AL5" s="27">
        <v>193296</v>
      </c>
      <c r="AM5" s="23"/>
      <c r="AN5" s="27">
        <v>234289</v>
      </c>
      <c r="AO5" s="23"/>
      <c r="AP5" s="90">
        <f>593457+4</f>
        <v>593461</v>
      </c>
      <c r="AQ5" s="23"/>
      <c r="AR5" s="27">
        <v>494568</v>
      </c>
      <c r="AS5" s="23"/>
      <c r="AT5" s="27">
        <v>361040</v>
      </c>
      <c r="AU5" s="23"/>
      <c r="AV5" s="27">
        <v>364952</v>
      </c>
      <c r="AW5" s="23"/>
      <c r="AX5" s="27">
        <v>603040</v>
      </c>
      <c r="AY5" s="23"/>
      <c r="AZ5" s="31">
        <v>663654</v>
      </c>
      <c r="BA5" s="23"/>
      <c r="BB5" s="31">
        <v>428802</v>
      </c>
      <c r="BC5" s="23"/>
      <c r="BD5" s="31">
        <v>665054</v>
      </c>
      <c r="BE5" s="23"/>
    </row>
    <row r="6" spans="1:57" ht="15.6" customHeight="1">
      <c r="A6" s="54" t="s">
        <v>22</v>
      </c>
      <c r="B6" s="27">
        <v>294158</v>
      </c>
      <c r="C6" s="23"/>
      <c r="D6" s="27">
        <v>430526</v>
      </c>
      <c r="E6" s="23"/>
      <c r="F6" s="27">
        <v>691617</v>
      </c>
      <c r="G6" s="23"/>
      <c r="H6" s="27">
        <v>813040</v>
      </c>
      <c r="I6" s="23"/>
      <c r="J6" s="27">
        <v>588499</v>
      </c>
      <c r="K6" s="23"/>
      <c r="L6" s="27">
        <v>686987</v>
      </c>
      <c r="M6" s="23"/>
      <c r="N6" s="27">
        <v>582756</v>
      </c>
      <c r="O6" s="23"/>
      <c r="P6" s="27">
        <v>590828</v>
      </c>
      <c r="Q6" s="23"/>
      <c r="R6" s="27">
        <v>552363</v>
      </c>
      <c r="S6" s="23"/>
      <c r="T6" s="27">
        <v>597177</v>
      </c>
      <c r="U6" s="23"/>
      <c r="V6" s="27">
        <v>600965</v>
      </c>
      <c r="W6" s="23"/>
      <c r="X6" s="27">
        <v>611199</v>
      </c>
      <c r="Y6" s="23"/>
      <c r="Z6" s="27">
        <v>448137</v>
      </c>
      <c r="AA6" s="23"/>
      <c r="AB6" s="27">
        <v>362042</v>
      </c>
      <c r="AC6" s="23"/>
      <c r="AD6" s="27">
        <v>500135</v>
      </c>
      <c r="AE6" s="23"/>
      <c r="AF6" s="27">
        <v>486091</v>
      </c>
      <c r="AG6" s="23"/>
      <c r="AH6" s="27">
        <v>512045</v>
      </c>
      <c r="AI6" s="23"/>
      <c r="AJ6" s="27">
        <v>509343</v>
      </c>
      <c r="AK6" s="23"/>
      <c r="AL6" s="27">
        <v>560753</v>
      </c>
      <c r="AM6" s="23"/>
      <c r="AN6" s="27">
        <v>430168</v>
      </c>
      <c r="AO6" s="23"/>
      <c r="AP6" s="27">
        <v>386480</v>
      </c>
      <c r="AQ6" s="23"/>
      <c r="AR6" s="27">
        <v>458841</v>
      </c>
      <c r="AS6" s="23"/>
      <c r="AT6" s="27">
        <v>550460</v>
      </c>
      <c r="AU6" s="23"/>
      <c r="AV6" s="27">
        <v>495408</v>
      </c>
      <c r="AW6" s="23"/>
      <c r="AX6" s="27">
        <v>503524</v>
      </c>
      <c r="AY6" s="23"/>
      <c r="AZ6" s="31">
        <v>375785</v>
      </c>
      <c r="BA6" s="23"/>
      <c r="BB6" s="31">
        <v>311444</v>
      </c>
      <c r="BC6" s="23"/>
      <c r="BD6" s="31">
        <v>311032</v>
      </c>
      <c r="BE6" s="23"/>
    </row>
    <row r="7" spans="1:57" ht="15.6" customHeight="1">
      <c r="A7" s="54" t="s">
        <v>23</v>
      </c>
      <c r="B7" s="90">
        <f>179774+9612+11861</f>
        <v>201247</v>
      </c>
      <c r="C7" s="23"/>
      <c r="D7" s="90">
        <f>148464+6969+14830</f>
        <v>170263</v>
      </c>
      <c r="E7" s="23"/>
      <c r="F7" s="90">
        <f>228939+6440+17514</f>
        <v>252893</v>
      </c>
      <c r="G7" s="23"/>
      <c r="H7" s="90">
        <f>242891+6767+17299</f>
        <v>266957</v>
      </c>
      <c r="I7" s="23"/>
      <c r="J7" s="90">
        <f>238724+4941+17046</f>
        <v>260711</v>
      </c>
      <c r="K7" s="23"/>
      <c r="L7" s="90">
        <f>269092+9428+25557</f>
        <v>304077</v>
      </c>
      <c r="M7" s="23"/>
      <c r="N7" s="90">
        <f>288893+9348+25200</f>
        <v>323441</v>
      </c>
      <c r="O7" s="23"/>
      <c r="P7" s="90">
        <f>262198+9004+30558</f>
        <v>301760</v>
      </c>
      <c r="Q7" s="23"/>
      <c r="R7" s="90">
        <f>283628+7942+31451</f>
        <v>323021</v>
      </c>
      <c r="S7" s="23"/>
      <c r="T7" s="90">
        <f>235233+7633+32082</f>
        <v>274948</v>
      </c>
      <c r="U7" s="23"/>
      <c r="V7" s="90">
        <f>326243+5059+43997</f>
        <v>375299</v>
      </c>
      <c r="W7" s="23"/>
      <c r="X7" s="90">
        <f>260348+39167+1990</f>
        <v>301505</v>
      </c>
      <c r="Y7" s="23"/>
      <c r="Z7" s="90">
        <f>427104+49184</f>
        <v>476288</v>
      </c>
      <c r="AA7" s="23"/>
      <c r="AB7" s="90">
        <f>389706+47173</f>
        <v>436879</v>
      </c>
      <c r="AC7" s="23"/>
      <c r="AD7" s="90">
        <f>332555+58255</f>
        <v>390810</v>
      </c>
      <c r="AE7" s="23"/>
      <c r="AF7" s="90">
        <f>373307+57791</f>
        <v>431098</v>
      </c>
      <c r="AG7" s="23"/>
      <c r="AH7" s="90">
        <f>457267+108434</f>
        <v>565701</v>
      </c>
      <c r="AI7" s="23"/>
      <c r="AJ7" s="27">
        <f>587378+57238</f>
        <v>644616</v>
      </c>
      <c r="AK7" s="23"/>
      <c r="AL7" s="27">
        <f>292545+40311</f>
        <v>332856</v>
      </c>
      <c r="AM7" s="23"/>
      <c r="AN7" s="27">
        <f>332772+18385</f>
        <v>351157</v>
      </c>
      <c r="AO7" s="23"/>
      <c r="AP7" s="27">
        <f>20697+1695+87160</f>
        <v>109552</v>
      </c>
      <c r="AQ7" s="23"/>
      <c r="AR7" s="27">
        <f>33031+20559+1995</f>
        <v>55585</v>
      </c>
      <c r="AS7" s="23"/>
      <c r="AT7" s="27">
        <f>35599+31921+1200</f>
        <v>68720</v>
      </c>
      <c r="AU7" s="23"/>
      <c r="AV7" s="27">
        <v>865349</v>
      </c>
      <c r="AW7" s="23"/>
      <c r="AX7" s="27">
        <v>70121</v>
      </c>
      <c r="AY7" s="23"/>
      <c r="AZ7" s="31">
        <f>54394+16516+1483</f>
        <v>72393</v>
      </c>
      <c r="BA7" s="23"/>
      <c r="BB7" s="31">
        <f>66177+14942+1446</f>
        <v>82565</v>
      </c>
      <c r="BC7" s="23"/>
      <c r="BD7" s="31">
        <v>174761</v>
      </c>
      <c r="BE7" s="23"/>
    </row>
    <row r="8" spans="1:57" ht="15.6" customHeight="1">
      <c r="A8" s="55" t="s">
        <v>24</v>
      </c>
      <c r="B8" s="27">
        <f>SUM(B4:B7)</f>
        <v>3074634</v>
      </c>
      <c r="C8" s="23"/>
      <c r="D8" s="27">
        <f>SUM(D4:D7)</f>
        <v>3237192</v>
      </c>
      <c r="E8" s="23"/>
      <c r="F8" s="27">
        <f>SUM(F4:F7)</f>
        <v>3370383</v>
      </c>
      <c r="G8" s="23"/>
      <c r="H8" s="27">
        <f>SUM(H4:H7)</f>
        <v>3907164</v>
      </c>
      <c r="I8" s="23"/>
      <c r="J8" s="27">
        <f>SUM(J4:J7)</f>
        <v>4033775</v>
      </c>
      <c r="K8" s="23"/>
      <c r="L8" s="27">
        <f>SUM(L4:L7)</f>
        <v>4241370</v>
      </c>
      <c r="M8" s="23"/>
      <c r="N8" s="27">
        <f>SUM(N4:N7)</f>
        <v>4426921</v>
      </c>
      <c r="O8" s="23"/>
      <c r="P8" s="27">
        <f>SUM(P4:P7)</f>
        <v>4430546</v>
      </c>
      <c r="Q8" s="23"/>
      <c r="R8" s="27">
        <f>SUM(R4:R7)</f>
        <v>4679501</v>
      </c>
      <c r="S8" s="23"/>
      <c r="T8" s="27">
        <f>SUM(T4:T7)</f>
        <v>4644460</v>
      </c>
      <c r="U8" s="23"/>
      <c r="V8" s="27">
        <f>SUM(V4:V7)</f>
        <v>4803345</v>
      </c>
      <c r="W8" s="23"/>
      <c r="X8" s="27">
        <f>SUM(X4:X7)</f>
        <v>4974837</v>
      </c>
      <c r="Y8" s="23"/>
      <c r="Z8" s="27">
        <f>SUM(Z4:Z7)</f>
        <v>5171700</v>
      </c>
      <c r="AA8" s="23"/>
      <c r="AB8" s="27">
        <f>SUM(AB4:AB7)</f>
        <v>4827686</v>
      </c>
      <c r="AC8" s="23"/>
      <c r="AD8" s="27">
        <f>SUM(AD4:AD7)</f>
        <v>4943189</v>
      </c>
      <c r="AE8" s="23"/>
      <c r="AF8" s="27">
        <f>SUM(AF4:AF7)</f>
        <v>5257969</v>
      </c>
      <c r="AG8" s="23"/>
      <c r="AH8" s="27">
        <f>SUM(AH4:AH7)</f>
        <v>5358326</v>
      </c>
      <c r="AI8" s="23"/>
      <c r="AJ8" s="27">
        <f>SUM(AJ4:AJ7)</f>
        <v>5450675</v>
      </c>
      <c r="AK8" s="23"/>
      <c r="AL8" s="27">
        <f>SUM(AL4:AL7)</f>
        <v>5827125</v>
      </c>
      <c r="AM8" s="23"/>
      <c r="AN8" s="27">
        <f>SUM(AN4:AN7)</f>
        <v>5918872</v>
      </c>
      <c r="AO8" s="23"/>
      <c r="AP8" s="27">
        <f>SUM(AP4:AP7)</f>
        <v>5806129</v>
      </c>
      <c r="AQ8" s="23"/>
      <c r="AR8" s="27">
        <f>SUM(AR4:AR7)</f>
        <v>5447274</v>
      </c>
      <c r="AS8" s="23"/>
      <c r="AT8" s="27">
        <f>SUM(AT4:AT7)</f>
        <v>6200026</v>
      </c>
      <c r="AU8" s="23"/>
      <c r="AV8" s="27">
        <v>5351040</v>
      </c>
      <c r="AW8" s="23"/>
      <c r="AX8" s="27">
        <v>4791676</v>
      </c>
      <c r="AY8" s="23"/>
      <c r="AZ8" s="31">
        <f>SUM(AZ4:AZ7)</f>
        <v>5054077</v>
      </c>
      <c r="BA8" s="23"/>
      <c r="BB8" s="31">
        <f>SUM(BB4:BB7)</f>
        <v>5413371</v>
      </c>
      <c r="BC8" s="23"/>
      <c r="BD8" s="31">
        <v>5412606</v>
      </c>
      <c r="BE8" s="23"/>
    </row>
    <row r="9" spans="1:57" ht="15.6" customHeight="1">
      <c r="A9" s="54" t="s">
        <v>182</v>
      </c>
      <c r="B9" s="27">
        <f>56031+17781</f>
        <v>73812</v>
      </c>
      <c r="C9" s="23"/>
      <c r="D9" s="27">
        <f>57752+17603</f>
        <v>75355</v>
      </c>
      <c r="E9" s="23"/>
      <c r="F9" s="27">
        <f>60303+18187</f>
        <v>78490</v>
      </c>
      <c r="G9" s="23"/>
      <c r="H9" s="27">
        <f>58675+18404</f>
        <v>77079</v>
      </c>
      <c r="I9" s="23"/>
      <c r="J9" s="27">
        <f>57010+18199</f>
        <v>75209</v>
      </c>
      <c r="K9" s="23"/>
      <c r="L9" s="27">
        <v>58455</v>
      </c>
      <c r="M9" s="23"/>
      <c r="N9" s="27">
        <v>58203</v>
      </c>
      <c r="O9" s="23"/>
      <c r="P9" s="27">
        <v>57997</v>
      </c>
      <c r="Q9" s="23"/>
      <c r="R9" s="27">
        <v>60410</v>
      </c>
      <c r="S9" s="23"/>
      <c r="T9" s="27">
        <v>61154</v>
      </c>
      <c r="U9" s="23"/>
      <c r="V9" s="27">
        <f>63656+107</f>
        <v>63763</v>
      </c>
      <c r="W9" s="23"/>
      <c r="X9" s="27">
        <f>64676+25034+300</f>
        <v>90010</v>
      </c>
      <c r="Y9" s="23"/>
      <c r="Z9" s="27">
        <f>68489+45224+810</f>
        <v>114523</v>
      </c>
      <c r="AA9" s="23"/>
      <c r="AB9" s="27">
        <f>45178+46915+810</f>
        <v>92903</v>
      </c>
      <c r="AC9" s="23"/>
      <c r="AD9" s="27">
        <f>51532+45126+4871</f>
        <v>101529</v>
      </c>
      <c r="AE9" s="23"/>
      <c r="AF9" s="27">
        <f>50483+45820+4871</f>
        <v>101174</v>
      </c>
      <c r="AG9" s="23"/>
      <c r="AH9" s="27">
        <f>44444+46306+4871</f>
        <v>95621</v>
      </c>
      <c r="AI9" s="23"/>
      <c r="AJ9" s="27">
        <f>43199+4871</f>
        <v>48070</v>
      </c>
      <c r="AK9" s="23"/>
      <c r="AL9" s="27">
        <f>34593+30370</f>
        <v>64963</v>
      </c>
      <c r="AM9" s="23"/>
      <c r="AN9" s="27">
        <f>27453+30370</f>
        <v>57823</v>
      </c>
      <c r="AO9" s="23"/>
      <c r="AP9" s="27">
        <v>58248</v>
      </c>
      <c r="AQ9" s="23"/>
      <c r="AR9" s="27">
        <f>31510+27692</f>
        <v>59202</v>
      </c>
      <c r="AS9" s="23"/>
      <c r="AT9" s="27">
        <f>31510+27449</f>
        <v>58959</v>
      </c>
      <c r="AU9" s="23"/>
      <c r="AV9" s="27">
        <v>46871</v>
      </c>
      <c r="AW9" s="23"/>
      <c r="AX9" s="27">
        <v>47939</v>
      </c>
      <c r="AY9" s="23"/>
      <c r="AZ9" s="31">
        <f>31510+17798</f>
        <v>49308</v>
      </c>
      <c r="BA9" s="23"/>
      <c r="BB9" s="31">
        <f>31510+18658</f>
        <v>50168</v>
      </c>
      <c r="BC9" s="23"/>
      <c r="BD9" s="31">
        <v>23004</v>
      </c>
      <c r="BE9" s="23"/>
    </row>
    <row r="10" spans="1:57" ht="15.6" customHeight="1">
      <c r="A10" s="54" t="s">
        <v>25</v>
      </c>
      <c r="B10" s="27">
        <f>476488+132964</f>
        <v>609452</v>
      </c>
      <c r="C10" s="23"/>
      <c r="D10" s="27">
        <f>484028+133197</f>
        <v>617225</v>
      </c>
      <c r="E10" s="23"/>
      <c r="F10" s="27">
        <f>492774+133432</f>
        <v>626206</v>
      </c>
      <c r="G10" s="23"/>
      <c r="H10" s="27">
        <f>484605+133665</f>
        <v>618270</v>
      </c>
      <c r="I10" s="23"/>
      <c r="J10" s="27">
        <f>483294+133899</f>
        <v>617193</v>
      </c>
      <c r="K10" s="23"/>
      <c r="L10" s="27">
        <f>494948+134132</f>
        <v>629080</v>
      </c>
      <c r="M10" s="23"/>
      <c r="N10" s="27">
        <f>500191+134365</f>
        <v>634556</v>
      </c>
      <c r="O10" s="23"/>
      <c r="P10" s="27">
        <f>497614+134599</f>
        <v>632213</v>
      </c>
      <c r="Q10" s="23"/>
      <c r="R10" s="27">
        <f>506418+134833</f>
        <v>641251</v>
      </c>
      <c r="S10" s="23"/>
      <c r="T10" s="27">
        <f>517258+135066</f>
        <v>652324</v>
      </c>
      <c r="U10" s="23"/>
      <c r="V10" s="27">
        <f>528447+135300</f>
        <v>663747</v>
      </c>
      <c r="W10" s="23"/>
      <c r="X10" s="27">
        <f>532158+135533</f>
        <v>667691</v>
      </c>
      <c r="Y10" s="23"/>
      <c r="Z10" s="27">
        <f>541020+135767</f>
        <v>676787</v>
      </c>
      <c r="AA10" s="23"/>
      <c r="AB10" s="27">
        <f>546019+136001</f>
        <v>682020</v>
      </c>
      <c r="AC10" s="23"/>
      <c r="AD10" s="27">
        <f>546137+136234</f>
        <v>682371</v>
      </c>
      <c r="AE10" s="23"/>
      <c r="AF10" s="27">
        <f>544843+137575</f>
        <v>682418</v>
      </c>
      <c r="AG10" s="23"/>
      <c r="AH10" s="27">
        <v>685008</v>
      </c>
      <c r="AI10" s="23"/>
      <c r="AJ10" s="27">
        <v>685093</v>
      </c>
      <c r="AK10" s="23"/>
      <c r="AL10" s="27">
        <v>691939</v>
      </c>
      <c r="AM10" s="23"/>
      <c r="AN10" s="27">
        <v>701894</v>
      </c>
      <c r="AO10" s="23"/>
      <c r="AP10" s="27">
        <v>702819</v>
      </c>
      <c r="AQ10" s="23"/>
      <c r="AR10" s="27">
        <v>700554</v>
      </c>
      <c r="AS10" s="23"/>
      <c r="AT10" s="27">
        <v>705096</v>
      </c>
      <c r="AU10" s="23"/>
      <c r="AV10" s="27">
        <v>710381</v>
      </c>
      <c r="AW10" s="23"/>
      <c r="AX10" s="27">
        <v>1510778</v>
      </c>
      <c r="AY10" s="23"/>
      <c r="AZ10" s="31">
        <f>553226+942868</f>
        <v>1496094</v>
      </c>
      <c r="BA10" s="23"/>
      <c r="BB10" s="31">
        <f>558305+944382</f>
        <v>1502687</v>
      </c>
      <c r="BC10" s="23"/>
      <c r="BD10" s="31">
        <v>1511911</v>
      </c>
      <c r="BE10" s="23"/>
    </row>
    <row r="11" spans="1:57" ht="15.6" customHeight="1">
      <c r="A11" s="54" t="s">
        <v>26</v>
      </c>
      <c r="B11" s="27">
        <v>126197</v>
      </c>
      <c r="C11" s="23"/>
      <c r="D11" s="27">
        <v>126896</v>
      </c>
      <c r="E11" s="23"/>
      <c r="F11" s="27">
        <v>148711</v>
      </c>
      <c r="G11" s="23"/>
      <c r="H11" s="27">
        <v>168060</v>
      </c>
      <c r="I11" s="23"/>
      <c r="J11" s="27">
        <v>175351</v>
      </c>
      <c r="K11" s="23"/>
      <c r="L11" s="27">
        <v>137918</v>
      </c>
      <c r="M11" s="23"/>
      <c r="N11" s="27">
        <v>156530</v>
      </c>
      <c r="O11" s="23"/>
      <c r="P11" s="27">
        <v>149422</v>
      </c>
      <c r="Q11" s="23"/>
      <c r="R11" s="27">
        <v>170971</v>
      </c>
      <c r="S11" s="23"/>
      <c r="T11" s="27">
        <f>319236+195177</f>
        <v>514413</v>
      </c>
      <c r="U11" s="23"/>
      <c r="V11" s="27">
        <f>319236+102633</f>
        <v>421869</v>
      </c>
      <c r="W11" s="23"/>
      <c r="X11" s="27">
        <f>319236+131457</f>
        <v>450693</v>
      </c>
      <c r="Y11" s="23"/>
      <c r="Z11" s="27">
        <f>319236+127616</f>
        <v>446852</v>
      </c>
      <c r="AA11" s="23"/>
      <c r="AB11" s="27">
        <f>319236+156449</f>
        <v>475685</v>
      </c>
      <c r="AC11" s="23"/>
      <c r="AD11" s="27">
        <f>319236+177255</f>
        <v>496491</v>
      </c>
      <c r="AE11" s="23"/>
      <c r="AF11" s="27">
        <f>319236+203046</f>
        <v>522282</v>
      </c>
      <c r="AG11" s="23"/>
      <c r="AH11" s="27">
        <f>319236+229189</f>
        <v>548425</v>
      </c>
      <c r="AI11" s="23"/>
      <c r="AJ11" s="27">
        <f>319236+157863</f>
        <v>477099</v>
      </c>
      <c r="AK11" s="23"/>
      <c r="AL11" s="27">
        <f>319236+182882</f>
        <v>502118</v>
      </c>
      <c r="AM11" s="23"/>
      <c r="AN11" s="27">
        <f>319236+209847</f>
        <v>529083</v>
      </c>
      <c r="AO11" s="23"/>
      <c r="AP11" s="27">
        <v>555299</v>
      </c>
      <c r="AQ11" s="23"/>
      <c r="AR11" s="27">
        <v>574236</v>
      </c>
      <c r="AS11" s="23"/>
      <c r="AT11" s="27">
        <v>590958</v>
      </c>
      <c r="AU11" s="23"/>
      <c r="AV11" s="27">
        <v>612668</v>
      </c>
      <c r="AW11" s="23"/>
      <c r="AX11" s="27">
        <v>542855</v>
      </c>
      <c r="AY11" s="23"/>
      <c r="AZ11" s="31">
        <v>101039</v>
      </c>
      <c r="BA11" s="23"/>
      <c r="BB11" s="31">
        <v>112398</v>
      </c>
      <c r="BC11" s="23"/>
      <c r="BD11" s="31">
        <v>126662</v>
      </c>
      <c r="BE11" s="23"/>
    </row>
    <row r="12" spans="1:57" ht="15.6" customHeight="1">
      <c r="A12" s="54" t="s">
        <v>27</v>
      </c>
      <c r="B12" s="33">
        <f>572873+10528</f>
        <v>583401</v>
      </c>
      <c r="C12" s="23"/>
      <c r="D12" s="33">
        <f>508612+10496</f>
        <v>519108</v>
      </c>
      <c r="E12" s="23"/>
      <c r="F12" s="33">
        <f>456400+10460</f>
        <v>466860</v>
      </c>
      <c r="G12" s="23"/>
      <c r="H12" s="33">
        <f>411576+10496</f>
        <v>422072</v>
      </c>
      <c r="I12" s="23"/>
      <c r="J12" s="33">
        <f>318731+10434</f>
        <v>329165</v>
      </c>
      <c r="K12" s="23"/>
      <c r="L12" s="33">
        <f>282837+10500</f>
        <v>293337</v>
      </c>
      <c r="M12" s="23"/>
      <c r="N12" s="33">
        <f>259472+10528</f>
        <v>270000</v>
      </c>
      <c r="O12" s="23"/>
      <c r="P12" s="33">
        <f>237934+10608</f>
        <v>248542</v>
      </c>
      <c r="Q12" s="23"/>
      <c r="R12" s="33">
        <f>214171+10971</f>
        <v>225142</v>
      </c>
      <c r="S12" s="23"/>
      <c r="T12" s="33">
        <f>204120+10668</f>
        <v>214788</v>
      </c>
      <c r="U12" s="23"/>
      <c r="V12" s="33">
        <f>182584+10848</f>
        <v>193432</v>
      </c>
      <c r="W12" s="23"/>
      <c r="X12" s="33">
        <f>164023+11212</f>
        <v>175235</v>
      </c>
      <c r="Y12" s="23"/>
      <c r="Z12" s="33">
        <f>159721+12478</f>
        <v>172199</v>
      </c>
      <c r="AA12" s="23"/>
      <c r="AB12" s="33">
        <f>165486+12375</f>
        <v>177861</v>
      </c>
      <c r="AC12" s="23"/>
      <c r="AD12" s="33">
        <f>164165+11889</f>
        <v>176054</v>
      </c>
      <c r="AE12" s="23"/>
      <c r="AF12" s="33">
        <f>145670+11579</f>
        <v>157249</v>
      </c>
      <c r="AG12" s="23"/>
      <c r="AH12" s="33">
        <f>141138+12047</f>
        <v>153185</v>
      </c>
      <c r="AI12" s="23"/>
      <c r="AJ12" s="33">
        <f>140619+11390</f>
        <v>152009</v>
      </c>
      <c r="AK12" s="23"/>
      <c r="AL12" s="33">
        <f>116162+51+11444</f>
        <v>127657</v>
      </c>
      <c r="AM12" s="23"/>
      <c r="AN12" s="33">
        <f>83840+51+11628</f>
        <v>95519</v>
      </c>
      <c r="AO12" s="23"/>
      <c r="AP12" s="33">
        <v>116283</v>
      </c>
      <c r="AQ12" s="23"/>
      <c r="AR12" s="33">
        <f>138928+1762+11429</f>
        <v>152119</v>
      </c>
      <c r="AS12" s="23"/>
      <c r="AT12" s="33">
        <f>157221+11334</f>
        <v>168555</v>
      </c>
      <c r="AU12" s="23"/>
      <c r="AV12" s="33">
        <v>167354</v>
      </c>
      <c r="AW12" s="23"/>
      <c r="AX12" s="33">
        <v>165327</v>
      </c>
      <c r="AY12" s="23"/>
      <c r="AZ12" s="32">
        <f>158829+7002</f>
        <v>165831</v>
      </c>
      <c r="BA12" s="23"/>
      <c r="BB12" s="32">
        <f>122482+5900</f>
        <v>128382</v>
      </c>
      <c r="BC12" s="23"/>
      <c r="BD12" s="32">
        <v>165258</v>
      </c>
      <c r="BE12" s="23"/>
    </row>
    <row r="13" spans="1:57" s="13" customFormat="1" ht="16.5">
      <c r="A13" s="55" t="s">
        <v>28</v>
      </c>
      <c r="B13" s="34">
        <f>SUM(B8:B12)</f>
        <v>4467496</v>
      </c>
      <c r="C13" s="24"/>
      <c r="D13" s="34">
        <f>SUM(D8:D12)</f>
        <v>4575776</v>
      </c>
      <c r="E13" s="24"/>
      <c r="F13" s="34">
        <f>SUM(F8:F12)</f>
        <v>4690650</v>
      </c>
      <c r="G13" s="24"/>
      <c r="H13" s="34">
        <f>SUM(H8:H12)</f>
        <v>5192645</v>
      </c>
      <c r="I13" s="24"/>
      <c r="J13" s="34">
        <f>SUM(J8:J12)</f>
        <v>5230693</v>
      </c>
      <c r="K13" s="24"/>
      <c r="L13" s="34">
        <f>SUM(L8:L12)</f>
        <v>5360160</v>
      </c>
      <c r="M13" s="24"/>
      <c r="N13" s="34">
        <f>SUM(N8:N12)</f>
        <v>5546210</v>
      </c>
      <c r="O13" s="24"/>
      <c r="P13" s="34">
        <f>SUM(P8:P12)</f>
        <v>5518720</v>
      </c>
      <c r="Q13" s="24"/>
      <c r="R13" s="34">
        <f>SUM(R8:R12)</f>
        <v>5777275</v>
      </c>
      <c r="S13" s="24"/>
      <c r="T13" s="34">
        <f>SUM(T8:T12)</f>
        <v>6087139</v>
      </c>
      <c r="U13" s="24"/>
      <c r="V13" s="34">
        <f>SUM(V8:V12)</f>
        <v>6146156</v>
      </c>
      <c r="W13" s="24"/>
      <c r="X13" s="34">
        <f>SUM(X8:X12)</f>
        <v>6358466</v>
      </c>
      <c r="Y13" s="24"/>
      <c r="Z13" s="34">
        <f>SUM(Z8:Z12)</f>
        <v>6582061</v>
      </c>
      <c r="AA13" s="24"/>
      <c r="AB13" s="34">
        <f>SUM(AB8:AB12)</f>
        <v>6256155</v>
      </c>
      <c r="AC13" s="24"/>
      <c r="AD13" s="34">
        <f>SUM(AD8:AD12)</f>
        <v>6399634</v>
      </c>
      <c r="AE13" s="24"/>
      <c r="AF13" s="34">
        <f>SUM(AF8:AF12)</f>
        <v>6721092</v>
      </c>
      <c r="AG13" s="24"/>
      <c r="AH13" s="34">
        <f>SUM(AH8:AH12)</f>
        <v>6840565</v>
      </c>
      <c r="AI13" s="24"/>
      <c r="AJ13" s="34">
        <f>SUM(AJ8:AJ12)</f>
        <v>6812946</v>
      </c>
      <c r="AK13" s="24"/>
      <c r="AL13" s="34">
        <f>SUM(AL8:AL12)</f>
        <v>7213802</v>
      </c>
      <c r="AM13" s="24"/>
      <c r="AN13" s="34">
        <f>SUM(AN8:AN12)</f>
        <v>7303191</v>
      </c>
      <c r="AO13" s="24"/>
      <c r="AP13" s="34">
        <f>SUM(AP8:AP12)</f>
        <v>7238778</v>
      </c>
      <c r="AQ13" s="24"/>
      <c r="AR13" s="34">
        <f>SUM(AR8:AR12)</f>
        <v>6933385</v>
      </c>
      <c r="AS13" s="24"/>
      <c r="AT13" s="34">
        <f>SUM(AT8:AT12)</f>
        <v>7723594</v>
      </c>
      <c r="AU13" s="24"/>
      <c r="AV13" s="34">
        <f>SUM(AV8:AV12)</f>
        <v>6888314</v>
      </c>
      <c r="AW13" s="24"/>
      <c r="AX13" s="46">
        <f>SUM(AX8:AX12)</f>
        <v>7058575</v>
      </c>
      <c r="AY13" s="24"/>
      <c r="AZ13" s="34">
        <f>SUM(AZ8:AZ12)</f>
        <v>6866349</v>
      </c>
      <c r="BA13" s="24"/>
      <c r="BB13" s="34">
        <f>SUM(BB8:BB12)</f>
        <v>7207006</v>
      </c>
      <c r="BC13" s="24"/>
      <c r="BD13" s="34">
        <f>SUM(BD8:BD12)</f>
        <v>7239441</v>
      </c>
      <c r="BE13" s="24"/>
    </row>
    <row r="14" spans="1:57">
      <c r="A14" s="54"/>
      <c r="B14" s="35"/>
      <c r="C14" s="23"/>
      <c r="D14" s="35"/>
      <c r="E14" s="23"/>
      <c r="F14" s="35"/>
      <c r="G14" s="23"/>
      <c r="H14" s="35"/>
      <c r="I14" s="23"/>
      <c r="J14" s="35"/>
      <c r="K14" s="23"/>
      <c r="L14" s="35"/>
      <c r="M14" s="23"/>
      <c r="N14" s="35"/>
      <c r="O14" s="23"/>
      <c r="P14" s="35"/>
      <c r="Q14" s="23"/>
      <c r="R14" s="35"/>
      <c r="S14" s="23"/>
      <c r="T14" s="35"/>
      <c r="U14" s="23"/>
      <c r="V14" s="35"/>
      <c r="W14" s="23"/>
      <c r="X14" s="35"/>
      <c r="Y14" s="23"/>
      <c r="Z14" s="35"/>
      <c r="AA14" s="23"/>
      <c r="AB14" s="35"/>
      <c r="AC14" s="23"/>
      <c r="AD14" s="35"/>
      <c r="AE14" s="23"/>
      <c r="AF14" s="35"/>
      <c r="AG14" s="23"/>
      <c r="AH14" s="35"/>
      <c r="AI14" s="23"/>
      <c r="AJ14" s="35"/>
      <c r="AK14" s="23"/>
      <c r="AL14" s="35"/>
      <c r="AM14" s="23"/>
      <c r="AN14" s="35"/>
      <c r="AO14" s="23"/>
      <c r="AP14" s="35"/>
      <c r="AQ14" s="23"/>
      <c r="AR14" s="35"/>
      <c r="AS14" s="23"/>
      <c r="AT14" s="35"/>
      <c r="AU14" s="23"/>
      <c r="AV14" s="35"/>
      <c r="AW14" s="23"/>
      <c r="AX14" s="35"/>
      <c r="AY14" s="23"/>
      <c r="AZ14" s="30"/>
      <c r="BA14" s="23"/>
      <c r="BB14" s="30"/>
      <c r="BC14" s="23"/>
      <c r="BD14" s="30"/>
      <c r="BE14" s="23"/>
    </row>
    <row r="15" spans="1:57" ht="15.6" customHeight="1">
      <c r="A15" s="54" t="s">
        <v>29</v>
      </c>
      <c r="B15" s="27">
        <v>405480</v>
      </c>
      <c r="C15" s="23"/>
      <c r="D15" s="27">
        <v>356398</v>
      </c>
      <c r="E15" s="23"/>
      <c r="F15" s="27">
        <v>286111</v>
      </c>
      <c r="G15" s="23"/>
      <c r="H15" s="27">
        <v>614578</v>
      </c>
      <c r="I15" s="23"/>
      <c r="J15" s="27">
        <v>407748</v>
      </c>
      <c r="K15" s="23"/>
      <c r="L15" s="27">
        <f>471692</f>
        <v>471692</v>
      </c>
      <c r="M15" s="23"/>
      <c r="N15" s="27">
        <v>540847</v>
      </c>
      <c r="O15" s="23"/>
      <c r="P15" s="27">
        <f>474493</f>
        <v>474493</v>
      </c>
      <c r="Q15" s="23"/>
      <c r="R15" s="27">
        <v>448124</v>
      </c>
      <c r="S15" s="23"/>
      <c r="T15" s="27">
        <f>410313</f>
        <v>410313</v>
      </c>
      <c r="U15" s="23"/>
      <c r="V15" s="27">
        <f>388943</f>
        <v>388943</v>
      </c>
      <c r="W15" s="23"/>
      <c r="X15" s="27">
        <v>525708</v>
      </c>
      <c r="Y15" s="23"/>
      <c r="Z15" s="27">
        <v>633629</v>
      </c>
      <c r="AA15" s="23"/>
      <c r="AB15" s="27">
        <v>345868</v>
      </c>
      <c r="AC15" s="23"/>
      <c r="AD15" s="27">
        <v>324307</v>
      </c>
      <c r="AE15" s="23"/>
      <c r="AF15" s="27">
        <v>451214</v>
      </c>
      <c r="AG15" s="23"/>
      <c r="AH15" s="27">
        <v>511217</v>
      </c>
      <c r="AI15" s="23"/>
      <c r="AJ15" s="27">
        <v>604935</v>
      </c>
      <c r="AK15" s="23"/>
      <c r="AL15" s="27">
        <v>484040</v>
      </c>
      <c r="AM15" s="23"/>
      <c r="AN15" s="27">
        <v>554009</v>
      </c>
      <c r="AO15" s="23"/>
      <c r="AP15" s="27">
        <v>492527</v>
      </c>
      <c r="AQ15" s="23"/>
      <c r="AR15" s="27">
        <v>456522</v>
      </c>
      <c r="AS15" s="23"/>
      <c r="AT15" s="27">
        <v>574761</v>
      </c>
      <c r="AU15" s="23"/>
      <c r="AV15" s="27">
        <v>491152</v>
      </c>
      <c r="AW15" s="23"/>
      <c r="AX15" s="27">
        <v>643566</v>
      </c>
      <c r="AY15" s="23"/>
      <c r="AZ15" s="31">
        <v>641041</v>
      </c>
      <c r="BA15" s="23"/>
      <c r="BB15" s="31">
        <v>667224</v>
      </c>
      <c r="BC15" s="23"/>
      <c r="BD15" s="31">
        <v>862357</v>
      </c>
      <c r="BE15" s="23"/>
    </row>
    <row r="16" spans="1:57" ht="15.6" customHeight="1">
      <c r="A16" s="54" t="s">
        <v>30</v>
      </c>
      <c r="B16" s="27">
        <f>389309+8062+7275+6854+2864</f>
        <v>414364</v>
      </c>
      <c r="C16" s="23"/>
      <c r="D16" s="27">
        <f>268871+6831+5504+5353+5172</f>
        <v>291731</v>
      </c>
      <c r="E16" s="23"/>
      <c r="F16" s="27">
        <f>248578+4377+2994+4891+4276</f>
        <v>265116</v>
      </c>
      <c r="G16" s="23"/>
      <c r="H16" s="27">
        <f>233966+2578+8291+8958+4910</f>
        <v>258703</v>
      </c>
      <c r="I16" s="23"/>
      <c r="J16" s="27">
        <f>398527+1573+7963+11225</f>
        <v>419288</v>
      </c>
      <c r="K16" s="23"/>
      <c r="L16" s="27">
        <f>303965+440+9352+14140</f>
        <v>327897</v>
      </c>
      <c r="M16" s="23"/>
      <c r="N16" s="27">
        <f>329772+1341+12018+15523</f>
        <v>358654</v>
      </c>
      <c r="O16" s="23"/>
      <c r="P16" s="27">
        <f>155+246153+43+11769+16052</f>
        <v>274172</v>
      </c>
      <c r="Q16" s="23"/>
      <c r="R16" s="27">
        <f>386647+1231+11632+19990</f>
        <v>419500</v>
      </c>
      <c r="S16" s="23"/>
      <c r="T16" s="27">
        <f>360197+1843+6844+24093</f>
        <v>392977</v>
      </c>
      <c r="U16" s="23"/>
      <c r="V16" s="27">
        <f>274193+6613+7674+35826</f>
        <v>324306</v>
      </c>
      <c r="W16" s="23"/>
      <c r="X16" s="27">
        <f>261024+1357+7966+33068</f>
        <v>303415</v>
      </c>
      <c r="Y16" s="23"/>
      <c r="Z16" s="27">
        <f>358811+5053+7162+29340</f>
        <v>400366</v>
      </c>
      <c r="AA16" s="23"/>
      <c r="AB16" s="27">
        <f>332105+3182+12606+55373</f>
        <v>403266</v>
      </c>
      <c r="AC16" s="23"/>
      <c r="AD16" s="27">
        <f>548063+6486+12562+32422</f>
        <v>599533</v>
      </c>
      <c r="AE16" s="23"/>
      <c r="AF16" s="27">
        <f>342682+38058+10372+51478</f>
        <v>442590</v>
      </c>
      <c r="AG16" s="23"/>
      <c r="AH16" s="27">
        <f>419264+30038+7313+59797</f>
        <v>516412</v>
      </c>
      <c r="AI16" s="23"/>
      <c r="AJ16" s="27">
        <f>1075266-AJ15</f>
        <v>470331</v>
      </c>
      <c r="AK16" s="23"/>
      <c r="AL16" s="27">
        <f>1644198-AL15</f>
        <v>1160158</v>
      </c>
      <c r="AM16" s="23"/>
      <c r="AN16" s="27">
        <f>1107829-554009</f>
        <v>553820</v>
      </c>
      <c r="AO16" s="23"/>
      <c r="AP16" s="27">
        <f>1120772-AP15</f>
        <v>628245</v>
      </c>
      <c r="AQ16" s="23"/>
      <c r="AR16" s="27">
        <f>895552-AR15</f>
        <v>439030</v>
      </c>
      <c r="AS16" s="23"/>
      <c r="AT16" s="27">
        <f>1651311-AT15</f>
        <v>1076550</v>
      </c>
      <c r="AU16" s="23"/>
      <c r="AV16" s="27">
        <v>673348</v>
      </c>
      <c r="AW16" s="23"/>
      <c r="AX16" s="27">
        <v>667797</v>
      </c>
      <c r="AY16" s="23"/>
      <c r="AZ16" s="31">
        <f>1251636-AZ15</f>
        <v>610595</v>
      </c>
      <c r="BA16" s="23"/>
      <c r="BB16" s="31">
        <f>1786339-667224</f>
        <v>1119115</v>
      </c>
      <c r="BC16" s="23"/>
      <c r="BD16" s="31">
        <v>648109</v>
      </c>
      <c r="BE16" s="23"/>
    </row>
    <row r="17" spans="1:57" ht="15.6" customHeight="1">
      <c r="A17" s="105" t="s">
        <v>183</v>
      </c>
      <c r="B17" s="33">
        <v>6746</v>
      </c>
      <c r="C17" s="23"/>
      <c r="D17" s="33">
        <v>6038</v>
      </c>
      <c r="E17" s="23"/>
      <c r="F17" s="33">
        <v>10656</v>
      </c>
      <c r="G17" s="23"/>
      <c r="H17" s="33">
        <v>12047</v>
      </c>
      <c r="I17" s="23"/>
      <c r="J17" s="33">
        <v>8218</v>
      </c>
      <c r="K17" s="23"/>
      <c r="L17" s="33">
        <v>12990</v>
      </c>
      <c r="M17" s="23"/>
      <c r="N17" s="33">
        <v>13154</v>
      </c>
      <c r="O17" s="23"/>
      <c r="P17" s="33">
        <v>12903</v>
      </c>
      <c r="Q17" s="23"/>
      <c r="R17" s="33">
        <v>17626</v>
      </c>
      <c r="S17" s="23"/>
      <c r="T17" s="33">
        <v>21275</v>
      </c>
      <c r="U17" s="23"/>
      <c r="V17" s="33">
        <v>25308</v>
      </c>
      <c r="W17" s="23"/>
      <c r="X17" s="33">
        <v>30858</v>
      </c>
      <c r="Y17" s="23"/>
      <c r="Z17" s="33">
        <v>30148</v>
      </c>
      <c r="AA17" s="23"/>
      <c r="AB17" s="33">
        <v>37907</v>
      </c>
      <c r="AC17" s="23"/>
      <c r="AD17" s="33">
        <v>31719</v>
      </c>
      <c r="AE17" s="23"/>
      <c r="AF17" s="33">
        <v>34202</v>
      </c>
      <c r="AG17" s="23"/>
      <c r="AH17" s="33">
        <v>38915</v>
      </c>
      <c r="AI17" s="23"/>
      <c r="AJ17" s="33">
        <v>35734</v>
      </c>
      <c r="AK17" s="23"/>
      <c r="AL17" s="33">
        <v>20352</v>
      </c>
      <c r="AM17" s="23"/>
      <c r="AN17" s="33">
        <v>0</v>
      </c>
      <c r="AO17" s="23"/>
      <c r="AP17" s="33">
        <v>23331</v>
      </c>
      <c r="AQ17" s="23"/>
      <c r="AR17" s="33">
        <v>38217</v>
      </c>
      <c r="AS17" s="23"/>
      <c r="AT17" s="33">
        <v>40142</v>
      </c>
      <c r="AU17" s="23"/>
      <c r="AV17" s="33">
        <v>34114</v>
      </c>
      <c r="AW17" s="23"/>
      <c r="AX17" s="33">
        <v>34695</v>
      </c>
      <c r="AY17" s="23"/>
      <c r="AZ17" s="32">
        <v>7755</v>
      </c>
      <c r="BA17" s="23"/>
      <c r="BB17" s="32">
        <v>7755</v>
      </c>
      <c r="BC17" s="23"/>
      <c r="BD17" s="32">
        <v>6808</v>
      </c>
      <c r="BE17" s="23"/>
    </row>
    <row r="18" spans="1:57" s="13" customFormat="1" ht="16.5">
      <c r="A18" s="55" t="s">
        <v>31</v>
      </c>
      <c r="B18" s="34">
        <f>SUM(B15:B17)</f>
        <v>826590</v>
      </c>
      <c r="C18" s="24"/>
      <c r="D18" s="34">
        <f>SUM(D15:D17)</f>
        <v>654167</v>
      </c>
      <c r="E18" s="24"/>
      <c r="F18" s="34">
        <f>SUM(F15:F17)</f>
        <v>561883</v>
      </c>
      <c r="G18" s="24"/>
      <c r="H18" s="34">
        <f>SUM(H15:H17)</f>
        <v>885328</v>
      </c>
      <c r="I18" s="24"/>
      <c r="J18" s="34">
        <f>SUM(J15:J17)</f>
        <v>835254</v>
      </c>
      <c r="K18" s="24"/>
      <c r="L18" s="34">
        <f>SUM(L15:L17)</f>
        <v>812579</v>
      </c>
      <c r="M18" s="24"/>
      <c r="N18" s="34">
        <f>SUM(N15:N17)</f>
        <v>912655</v>
      </c>
      <c r="O18" s="24"/>
      <c r="P18" s="34">
        <f>SUM(P15:P17)</f>
        <v>761568</v>
      </c>
      <c r="Q18" s="24"/>
      <c r="R18" s="34">
        <f>SUM(R15:R17)</f>
        <v>885250</v>
      </c>
      <c r="S18" s="24"/>
      <c r="T18" s="34">
        <f>SUM(T15:T17)</f>
        <v>824565</v>
      </c>
      <c r="U18" s="24"/>
      <c r="V18" s="34">
        <f>SUM(V15:V17)</f>
        <v>738557</v>
      </c>
      <c r="W18" s="24"/>
      <c r="X18" s="34">
        <f>SUM(X15:X17)</f>
        <v>859981</v>
      </c>
      <c r="Y18" s="24"/>
      <c r="Z18" s="34">
        <f>SUM(Z15:Z17)</f>
        <v>1064143</v>
      </c>
      <c r="AA18" s="24"/>
      <c r="AB18" s="34">
        <f>SUM(AB15:AB17)</f>
        <v>787041</v>
      </c>
      <c r="AC18" s="24"/>
      <c r="AD18" s="34">
        <f>SUM(AD15:AD17)</f>
        <v>955559</v>
      </c>
      <c r="AE18" s="24"/>
      <c r="AF18" s="34">
        <f>SUM(AF15:AF17)</f>
        <v>928006</v>
      </c>
      <c r="AG18" s="24"/>
      <c r="AH18" s="34">
        <f>SUM(AH15:AH17)</f>
        <v>1066544</v>
      </c>
      <c r="AI18" s="24"/>
      <c r="AJ18" s="34">
        <f>SUM(AJ15:AJ17)</f>
        <v>1111000</v>
      </c>
      <c r="AK18" s="24"/>
      <c r="AL18" s="34">
        <f>SUM(AL15:AL17)</f>
        <v>1664550</v>
      </c>
      <c r="AM18" s="24"/>
      <c r="AN18" s="34">
        <f>SUM(AN15:AN17)</f>
        <v>1107829</v>
      </c>
      <c r="AO18" s="24"/>
      <c r="AP18" s="34">
        <f>SUM(AP15:AP17)</f>
        <v>1144103</v>
      </c>
      <c r="AQ18" s="24"/>
      <c r="AR18" s="34">
        <f>SUM(AR15:AR17)</f>
        <v>933769</v>
      </c>
      <c r="AS18" s="24"/>
      <c r="AT18" s="34">
        <f>SUM(AT15:AT17)</f>
        <v>1691453</v>
      </c>
      <c r="AU18" s="24"/>
      <c r="AV18" s="34">
        <f>SUM(AV15:AV17)</f>
        <v>1198614</v>
      </c>
      <c r="AW18" s="24"/>
      <c r="AX18" s="46">
        <f>SUM(AX15:AX17)</f>
        <v>1346058</v>
      </c>
      <c r="AY18" s="24"/>
      <c r="AZ18" s="34">
        <f>SUM(AZ15:AZ17)</f>
        <v>1259391</v>
      </c>
      <c r="BA18" s="24"/>
      <c r="BB18" s="34">
        <f>SUM(BB15:BB17)</f>
        <v>1794094</v>
      </c>
      <c r="BC18" s="24"/>
      <c r="BD18" s="34">
        <f>SUM(BD15:BD17)</f>
        <v>1517274</v>
      </c>
      <c r="BE18" s="24"/>
    </row>
    <row r="19" spans="1:57">
      <c r="A19" s="54"/>
      <c r="B19" s="35"/>
      <c r="C19" s="23"/>
      <c r="D19" s="35"/>
      <c r="E19" s="23"/>
      <c r="F19" s="35"/>
      <c r="G19" s="23"/>
      <c r="H19" s="35"/>
      <c r="I19" s="23"/>
      <c r="J19" s="35"/>
      <c r="K19" s="23"/>
      <c r="L19" s="35"/>
      <c r="M19" s="23"/>
      <c r="N19" s="35"/>
      <c r="O19" s="23"/>
      <c r="P19" s="35"/>
      <c r="Q19" s="23"/>
      <c r="R19" s="35"/>
      <c r="S19" s="23"/>
      <c r="T19" s="35"/>
      <c r="U19" s="23"/>
      <c r="V19" s="35"/>
      <c r="W19" s="23"/>
      <c r="X19" s="35"/>
      <c r="Y19" s="23"/>
      <c r="Z19" s="35"/>
      <c r="AA19" s="23"/>
      <c r="AB19" s="35"/>
      <c r="AC19" s="23"/>
      <c r="AD19" s="35"/>
      <c r="AE19" s="23"/>
      <c r="AF19" s="35"/>
      <c r="AG19" s="23"/>
      <c r="AH19" s="35"/>
      <c r="AI19" s="23"/>
      <c r="AJ19" s="35"/>
      <c r="AK19" s="23"/>
      <c r="AL19" s="35"/>
      <c r="AM19" s="23"/>
      <c r="AN19" s="35"/>
      <c r="AO19" s="23"/>
      <c r="AP19" s="35"/>
      <c r="AQ19" s="23"/>
      <c r="AR19" s="35"/>
      <c r="AS19" s="23"/>
      <c r="AT19" s="35"/>
      <c r="AU19" s="23"/>
      <c r="AV19" s="35"/>
      <c r="AW19" s="23"/>
      <c r="AX19" s="35"/>
      <c r="AY19" s="23"/>
      <c r="AZ19" s="30"/>
      <c r="BA19" s="23"/>
      <c r="BB19" s="30"/>
      <c r="BC19" s="23"/>
      <c r="BD19" s="30"/>
      <c r="BE19" s="23"/>
    </row>
    <row r="20" spans="1:57" s="13" customFormat="1" ht="16.5">
      <c r="A20" s="55" t="s">
        <v>32</v>
      </c>
      <c r="B20" s="36">
        <v>3640906</v>
      </c>
      <c r="C20" s="24"/>
      <c r="D20" s="36">
        <v>3921609</v>
      </c>
      <c r="E20" s="24"/>
      <c r="F20" s="36">
        <v>4128767</v>
      </c>
      <c r="G20" s="24"/>
      <c r="H20" s="36">
        <v>4307317</v>
      </c>
      <c r="I20" s="24"/>
      <c r="J20" s="36">
        <v>4395439</v>
      </c>
      <c r="K20" s="24"/>
      <c r="L20" s="36">
        <v>4547581</v>
      </c>
      <c r="M20" s="24"/>
      <c r="N20" s="36">
        <v>4633555</v>
      </c>
      <c r="O20" s="24"/>
      <c r="P20" s="36">
        <v>4757152</v>
      </c>
      <c r="Q20" s="24"/>
      <c r="R20" s="36">
        <v>4892025</v>
      </c>
      <c r="S20" s="24"/>
      <c r="T20" s="36">
        <v>5262574</v>
      </c>
      <c r="U20" s="24"/>
      <c r="V20" s="36">
        <v>5407599</v>
      </c>
      <c r="W20" s="24"/>
      <c r="X20" s="36">
        <v>5498485</v>
      </c>
      <c r="Y20" s="24"/>
      <c r="Z20" s="36">
        <v>5517918</v>
      </c>
      <c r="AA20" s="24"/>
      <c r="AB20" s="36">
        <v>5469114</v>
      </c>
      <c r="AC20" s="24"/>
      <c r="AD20" s="36">
        <v>5444075</v>
      </c>
      <c r="AE20" s="24"/>
      <c r="AF20" s="36">
        <v>5793086</v>
      </c>
      <c r="AG20" s="24"/>
      <c r="AH20" s="36">
        <v>5774021</v>
      </c>
      <c r="AI20" s="24"/>
      <c r="AJ20" s="36">
        <v>5701946</v>
      </c>
      <c r="AK20" s="24"/>
      <c r="AL20" s="36">
        <v>5549252</v>
      </c>
      <c r="AM20" s="24"/>
      <c r="AN20" s="36">
        <v>6195362</v>
      </c>
      <c r="AO20" s="24"/>
      <c r="AP20" s="36">
        <v>6094675</v>
      </c>
      <c r="AQ20" s="24"/>
      <c r="AR20" s="36">
        <v>5999616</v>
      </c>
      <c r="AS20" s="24"/>
      <c r="AT20" s="36">
        <v>6032141</v>
      </c>
      <c r="AU20" s="24"/>
      <c r="AV20" s="36">
        <v>5689700</v>
      </c>
      <c r="AW20" s="24"/>
      <c r="AX20" s="36">
        <v>5712517</v>
      </c>
      <c r="AY20" s="24"/>
      <c r="AZ20" s="42">
        <v>5606958</v>
      </c>
      <c r="BA20" s="24"/>
      <c r="BB20" s="42">
        <v>5412912</v>
      </c>
      <c r="BC20" s="24"/>
      <c r="BD20" s="42">
        <v>5722167</v>
      </c>
      <c r="BE20" s="24"/>
    </row>
    <row r="21" spans="1:57">
      <c r="A21" s="54"/>
      <c r="B21" s="35"/>
      <c r="C21" s="23"/>
      <c r="D21" s="35"/>
      <c r="E21" s="23"/>
      <c r="F21" s="35"/>
      <c r="G21" s="23"/>
      <c r="H21" s="35"/>
      <c r="I21" s="23"/>
      <c r="J21" s="35"/>
      <c r="K21" s="23"/>
      <c r="L21" s="35"/>
      <c r="M21" s="23"/>
      <c r="N21" s="35"/>
      <c r="O21" s="23"/>
      <c r="P21" s="35"/>
      <c r="Q21" s="23"/>
      <c r="R21" s="35"/>
      <c r="S21" s="23"/>
      <c r="T21" s="35"/>
      <c r="U21" s="23"/>
      <c r="V21" s="35"/>
      <c r="W21" s="23"/>
      <c r="X21" s="35"/>
      <c r="Y21" s="23"/>
      <c r="Z21" s="35"/>
      <c r="AA21" s="23"/>
      <c r="AB21" s="35"/>
      <c r="AC21" s="23"/>
      <c r="AD21" s="35"/>
      <c r="AE21" s="23"/>
      <c r="AF21" s="35"/>
      <c r="AG21" s="23"/>
      <c r="AH21" s="35"/>
      <c r="AI21" s="23"/>
      <c r="AJ21" s="35"/>
      <c r="AK21" s="23"/>
      <c r="AL21" s="35"/>
      <c r="AM21" s="23"/>
      <c r="AN21" s="35"/>
      <c r="AO21" s="23"/>
      <c r="AP21" s="35"/>
      <c r="AQ21" s="23"/>
      <c r="AR21" s="35"/>
      <c r="AS21" s="23"/>
      <c r="AT21" s="35"/>
      <c r="AU21" s="23"/>
      <c r="AV21" s="35"/>
      <c r="AW21" s="23"/>
      <c r="AX21" s="35"/>
      <c r="AY21" s="23"/>
      <c r="AZ21" s="30"/>
      <c r="BA21" s="23"/>
      <c r="BB21" s="30"/>
      <c r="BC21" s="23"/>
      <c r="BD21" s="30"/>
      <c r="BE21" s="23"/>
    </row>
    <row r="22" spans="1:57" ht="16.5">
      <c r="A22" s="55" t="s">
        <v>33</v>
      </c>
      <c r="B22" s="37"/>
      <c r="D22" s="37"/>
      <c r="F22" s="37"/>
      <c r="H22" s="37"/>
      <c r="J22" s="37"/>
      <c r="L22" s="37"/>
      <c r="N22" s="37"/>
      <c r="P22" s="37"/>
      <c r="R22" s="37"/>
      <c r="T22" s="37"/>
      <c r="V22" s="37"/>
      <c r="X22" s="37"/>
      <c r="Z22" s="37"/>
      <c r="AB22" s="37"/>
      <c r="AD22" s="37"/>
      <c r="AF22" s="37"/>
      <c r="AH22" s="37"/>
      <c r="AJ22" s="37"/>
      <c r="AL22" s="37"/>
      <c r="AN22" s="37"/>
      <c r="AP22" s="37"/>
      <c r="AR22" s="37"/>
      <c r="AT22" s="37"/>
      <c r="AV22" s="37"/>
      <c r="AX22" s="37"/>
      <c r="AZ22" s="43"/>
      <c r="BB22" s="43"/>
      <c r="BD22" s="43"/>
    </row>
    <row r="23" spans="1:57">
      <c r="A23" s="54" t="s">
        <v>184</v>
      </c>
      <c r="B23" s="38">
        <f>B32</f>
        <v>36.166714869495095</v>
      </c>
      <c r="D23" s="38">
        <f>D32</f>
        <v>34.452487248689202</v>
      </c>
      <c r="F23" s="38">
        <f>F32</f>
        <v>30.44428027367351</v>
      </c>
      <c r="H23" s="38">
        <f>H32</f>
        <v>34.123738984230059</v>
      </c>
      <c r="J23" s="38">
        <f>J32</f>
        <v>37.60320379551149</v>
      </c>
      <c r="L23" s="38">
        <f>L32</f>
        <v>27.298454975883061</v>
      </c>
      <c r="N23" s="38">
        <f>N32</f>
        <v>25.821646737934394</v>
      </c>
      <c r="P23" s="38">
        <f>P32</f>
        <v>30.491550523340369</v>
      </c>
      <c r="R23" s="38">
        <f>R32</f>
        <v>24.080828003569479</v>
      </c>
      <c r="T23" s="38">
        <f>T32</f>
        <v>22.312422791407514</v>
      </c>
      <c r="V23" s="38">
        <f>V32</f>
        <v>23.189700578808164</v>
      </c>
      <c r="X23" s="38">
        <f>X32</f>
        <v>22.290984541669044</v>
      </c>
      <c r="Z23" s="38">
        <f>Z32</f>
        <v>20.140062003334211</v>
      </c>
      <c r="AB23" s="38">
        <f>AB32</f>
        <v>18.327496298474237</v>
      </c>
      <c r="AD23" s="38">
        <f>AD32</f>
        <v>22.590349058824422</v>
      </c>
      <c r="AF23" s="38">
        <f>AF32</f>
        <v>16.616898746002263</v>
      </c>
      <c r="AH23" s="38">
        <f>AH32</f>
        <v>18.299764344580591</v>
      </c>
      <c r="AJ23" s="38">
        <f>AJ32</f>
        <v>15.731708016019143</v>
      </c>
      <c r="AL23" s="38">
        <f>AL32</f>
        <v>19.131978385076067</v>
      </c>
      <c r="AN23" s="38">
        <f>AN32</f>
        <v>33.616932754528307</v>
      </c>
      <c r="AP23" s="38">
        <f>AP32</f>
        <v>39.082731074227219</v>
      </c>
      <c r="AQ23" s="38"/>
      <c r="AR23" s="38">
        <f t="shared" ref="AR23:BD23" si="0">AR32</f>
        <v>37.175505593143335</v>
      </c>
      <c r="AS23" s="38"/>
      <c r="AT23" s="38">
        <f t="shared" si="0"/>
        <v>34.582520836321414</v>
      </c>
      <c r="AU23" s="38"/>
      <c r="AV23" s="38">
        <f t="shared" si="0"/>
        <v>50.586099856114103</v>
      </c>
      <c r="AW23" s="79"/>
      <c r="AX23" s="79">
        <f t="shared" si="0"/>
        <v>49.209240890645518</v>
      </c>
      <c r="AY23" s="38"/>
      <c r="AZ23" s="38">
        <f t="shared" si="0"/>
        <v>41.125500228325073</v>
      </c>
      <c r="BA23" s="38"/>
      <c r="BB23" s="38">
        <f t="shared" si="0"/>
        <v>38.54564717690721</v>
      </c>
      <c r="BC23" s="38"/>
      <c r="BD23" s="38">
        <f t="shared" si="0"/>
        <v>39.067829513110084</v>
      </c>
      <c r="BE23" s="48"/>
    </row>
    <row r="24" spans="1:57">
      <c r="A24" s="54" t="s">
        <v>185</v>
      </c>
      <c r="B24" s="38">
        <f>B39</f>
        <v>61.069398492659317</v>
      </c>
      <c r="D24" s="38">
        <f>D39</f>
        <v>88.155812261544085</v>
      </c>
      <c r="F24" s="38">
        <f>F39</f>
        <v>145.21652168748557</v>
      </c>
      <c r="H24" s="38">
        <f>H39</f>
        <v>164.01775427993351</v>
      </c>
      <c r="J24" s="38">
        <f>J39</f>
        <v>122.65980674591394</v>
      </c>
      <c r="L24" s="38">
        <f>L39</f>
        <v>96.887554844114149</v>
      </c>
      <c r="N24" s="38">
        <f>N39</f>
        <v>82.835226408947776</v>
      </c>
      <c r="P24" s="38">
        <f>P39</f>
        <v>93.786179173047472</v>
      </c>
      <c r="R24" s="38">
        <f>R39</f>
        <v>99.078593832559505</v>
      </c>
      <c r="T24" s="38">
        <f>T39</f>
        <v>108.790634234156</v>
      </c>
      <c r="V24" s="38">
        <f>V39</f>
        <v>110.12059994489324</v>
      </c>
      <c r="X24" s="38">
        <f>X39</f>
        <v>78.5985715217533</v>
      </c>
      <c r="Z24" s="38">
        <f>Z39</f>
        <v>57.663450439884507</v>
      </c>
      <c r="AB24" s="38">
        <f>AB39</f>
        <v>72.475018502444158</v>
      </c>
      <c r="AD24" s="38">
        <f>AD39</f>
        <v>111.2589239889617</v>
      </c>
      <c r="AF24" s="38">
        <f>AF39</f>
        <v>84.733007602482587</v>
      </c>
      <c r="AH24" s="38">
        <f>AH39</f>
        <v>68.516941168921704</v>
      </c>
      <c r="AJ24" s="38">
        <f>AJ39</f>
        <v>61.672830055352733</v>
      </c>
      <c r="AL24" s="38">
        <f>AL39</f>
        <v>83.084539576127355</v>
      </c>
      <c r="AN24" s="38">
        <f>AN39</f>
        <v>65.805287105629304</v>
      </c>
      <c r="AP24" s="38">
        <f>AP39</f>
        <v>58.255029273759092</v>
      </c>
      <c r="AQ24" s="38"/>
      <c r="AR24" s="38">
        <f t="shared" ref="AR24:AX24" si="1">AR39</f>
        <v>75.171943356940005</v>
      </c>
      <c r="AS24" s="38"/>
      <c r="AT24" s="38">
        <f t="shared" si="1"/>
        <v>91.654103797751162</v>
      </c>
      <c r="AU24" s="38"/>
      <c r="AV24" s="38">
        <f t="shared" si="1"/>
        <v>95.023961070395018</v>
      </c>
      <c r="AW24" s="79"/>
      <c r="AX24" s="79">
        <f t="shared" si="1"/>
        <v>61.838155750361565</v>
      </c>
      <c r="AZ24" s="38">
        <f>AZ38</f>
        <v>51.80943019477013</v>
      </c>
      <c r="BA24" s="48"/>
      <c r="BB24" s="38">
        <f>BB38</f>
        <v>45.484175414189963</v>
      </c>
      <c r="BC24" s="48"/>
      <c r="BD24" s="38">
        <v>34.382757275674379</v>
      </c>
      <c r="BE24" s="48"/>
    </row>
    <row r="25" spans="1:57">
      <c r="A25" s="54" t="s">
        <v>34</v>
      </c>
      <c r="B25" s="39">
        <f>(B4+B5+B6+B7)/(B15+B16)</f>
        <v>3.7502671239894418</v>
      </c>
      <c r="D25" s="39">
        <f>(D4+D5+D6+D7)/(D15+D16)</f>
        <v>4.9946723568919147</v>
      </c>
      <c r="F25" s="39">
        <f>(F4+F5+F6+F7)/(F15+F16)</f>
        <v>6.114328579695842</v>
      </c>
      <c r="H25" s="39">
        <f>(H4+H5+H6+H7)/(H15+H16)</f>
        <v>4.4741200140619117</v>
      </c>
      <c r="J25" s="39">
        <f>(J4+J5+J6+J7)/(J15+J16)</f>
        <v>4.8773874414173024</v>
      </c>
      <c r="L25" s="39">
        <f>(L4+L5+L6+L7)/(L15+L16)</f>
        <v>5.3044376548451764</v>
      </c>
      <c r="N25" s="39">
        <f>(N4+N5+N6+N7)/(N15+N16)</f>
        <v>4.9215298259812945</v>
      </c>
      <c r="P25" s="39">
        <f>(P4+P5+P6+P7)/(P15+P16)</f>
        <v>5.9179285795382448</v>
      </c>
      <c r="R25" s="39">
        <f>(R4+R5+R6+R7)/(R15+R16)</f>
        <v>5.3934665246696722</v>
      </c>
      <c r="T25" s="39">
        <f>(T4+T5+T6+T7)/(T15+T16)</f>
        <v>5.781797358363729</v>
      </c>
      <c r="V25" s="39">
        <f>(V4+V5+V6+V7)/(V15+V16)</f>
        <v>6.734457391457962</v>
      </c>
      <c r="X25" s="39">
        <f>(X4+X5+X6+X7)/(X15+X16)</f>
        <v>6.0001194032730973</v>
      </c>
      <c r="Z25" s="39">
        <f>(Z4+Z5+Z6+Z7)/(Z15+Z16)</f>
        <v>5.0016682865971305</v>
      </c>
      <c r="AB25" s="39">
        <f>(AB4+AB5+AB6+AB7)/(AB15+AB16)</f>
        <v>6.4443557494386852</v>
      </c>
      <c r="AD25" s="39">
        <f>(AD4+AD5+AD6+AD7)/(AD15+AD16)</f>
        <v>5.3506981728437824</v>
      </c>
      <c r="AF25" s="39">
        <f>(AF4+AF5+AF6+AF7)/(AF15+AF16)</f>
        <v>5.8826868082935411</v>
      </c>
      <c r="AH25" s="39">
        <f>(AH4+AH5+AH6+AH7)/(AH15+AH16)</f>
        <v>5.2142611779153762</v>
      </c>
      <c r="AJ25" s="39">
        <f>(AJ4+AJ5+AJ6+AJ7)/(AJ15+AJ16)</f>
        <v>5.0691410311495018</v>
      </c>
      <c r="AL25" s="39">
        <f>(AL4+AL5+AL6+AL7)/(AL15+AL16)</f>
        <v>3.544053088496641</v>
      </c>
      <c r="AN25" s="39">
        <f>(AN4+AN5+AN6+AN7)/(AN15+AN16)</f>
        <v>5.3427667988471148</v>
      </c>
      <c r="AP25" s="39">
        <f>AP41</f>
        <v>5.1804729240202292</v>
      </c>
      <c r="AR25" s="39">
        <f>(AR4+AR5+AR6+AR7)/(AR15+AR16)</f>
        <v>6.0825881690845423</v>
      </c>
      <c r="AT25" s="39">
        <f>(AT4+AT5+AT6+AT7)/(AT15+AT16)</f>
        <v>3.754608308186647</v>
      </c>
      <c r="AV25" s="39">
        <f>(AV4+AV5+AV6+AV7)/(AV15+AV16)</f>
        <v>4.5951395448690429</v>
      </c>
      <c r="AX25" s="47">
        <v>3.6539661405728237</v>
      </c>
      <c r="AZ25" s="39">
        <f>(AZ4+AZ5+AZ6+AZ7)/(AZ15+AZ16)</f>
        <v>4.0379766961001442</v>
      </c>
      <c r="BA25" s="49"/>
      <c r="BB25" s="39">
        <f>(BB4+BB5+BB6+BB7)/(BB15+BB16)</f>
        <v>3.0304275952100919</v>
      </c>
      <c r="BC25" s="49"/>
      <c r="BD25" s="39">
        <v>3.583401413868303</v>
      </c>
      <c r="BE25" s="49"/>
    </row>
    <row r="27" spans="1:57">
      <c r="A27" s="20" t="s">
        <v>186</v>
      </c>
      <c r="B27" s="40">
        <f>季度簡明合併損益表!B3</f>
        <v>587794</v>
      </c>
      <c r="D27" s="40">
        <v>672872</v>
      </c>
      <c r="F27" s="40">
        <v>599985</v>
      </c>
      <c r="H27" s="40">
        <v>551936</v>
      </c>
      <c r="J27" s="40">
        <v>675324</v>
      </c>
      <c r="L27" s="40">
        <v>857074</v>
      </c>
      <c r="N27" s="40">
        <v>899706</v>
      </c>
      <c r="P27" s="40">
        <v>754958</v>
      </c>
      <c r="R27" s="40">
        <v>831494</v>
      </c>
      <c r="T27" s="40">
        <v>790877</v>
      </c>
      <c r="V27" s="40">
        <v>796637</v>
      </c>
      <c r="X27" s="40">
        <v>981736</v>
      </c>
      <c r="Z27" s="40">
        <v>1110908</v>
      </c>
      <c r="AB27" s="40">
        <v>952310</v>
      </c>
      <c r="AD27" s="40">
        <v>658485</v>
      </c>
      <c r="AF27" s="40">
        <v>909890</v>
      </c>
      <c r="AH27" s="40">
        <v>1126645</v>
      </c>
      <c r="AJ27" s="40">
        <v>1395830</v>
      </c>
      <c r="AL27" s="40">
        <v>1016890</v>
      </c>
      <c r="AN27" s="40">
        <v>1108030</v>
      </c>
      <c r="AP27" s="40">
        <f>季度簡明合併損益表!AP3</f>
        <v>1280595</v>
      </c>
      <c r="AR27" s="40">
        <v>1058707</v>
      </c>
      <c r="AT27" s="40">
        <v>955183</v>
      </c>
      <c r="AV27" s="40">
        <v>861099</v>
      </c>
      <c r="AX27" s="40">
        <v>1184085</v>
      </c>
      <c r="AZ27" s="44">
        <v>1221942</v>
      </c>
      <c r="BA27" s="28"/>
      <c r="BB27" s="44">
        <v>1291208</v>
      </c>
      <c r="BC27" s="28"/>
      <c r="BD27" s="44">
        <v>1425353</v>
      </c>
      <c r="BE27" s="28"/>
    </row>
    <row r="28" spans="1:57" ht="15.6" customHeight="1">
      <c r="A28" s="21" t="s">
        <v>187</v>
      </c>
      <c r="B28" s="40">
        <v>249552</v>
      </c>
      <c r="D28" s="40">
        <v>243458</v>
      </c>
      <c r="F28" s="40">
        <v>264166</v>
      </c>
      <c r="H28" s="40">
        <f>137313+14</f>
        <v>137327</v>
      </c>
      <c r="J28" s="40">
        <v>281223</v>
      </c>
      <c r="L28" s="40">
        <v>270828</v>
      </c>
      <c r="N28" s="40">
        <v>240685</v>
      </c>
      <c r="P28" s="40">
        <v>275981</v>
      </c>
      <c r="R28" s="40">
        <v>241627</v>
      </c>
      <c r="T28" s="40">
        <v>210666</v>
      </c>
      <c r="V28" s="40">
        <v>201292</v>
      </c>
      <c r="X28" s="40">
        <v>221960</v>
      </c>
      <c r="Z28" s="40">
        <v>265059</v>
      </c>
      <c r="AB28" s="40">
        <v>227414</v>
      </c>
      <c r="AD28" s="40">
        <v>158088</v>
      </c>
      <c r="AF28" s="40">
        <v>174977</v>
      </c>
      <c r="AH28" s="40">
        <v>167238</v>
      </c>
      <c r="AJ28" s="40">
        <f>287475</f>
        <v>287475</v>
      </c>
      <c r="AL28" s="40">
        <f>193296+3688</f>
        <v>196984</v>
      </c>
      <c r="AN28" s="40">
        <v>238069</v>
      </c>
      <c r="AP28" s="40">
        <v>596288</v>
      </c>
      <c r="AR28" s="40">
        <v>501178</v>
      </c>
      <c r="AT28" s="40">
        <v>361040</v>
      </c>
      <c r="AV28" s="40">
        <v>364952</v>
      </c>
      <c r="AX28" s="40">
        <v>603040</v>
      </c>
      <c r="AZ28" s="44">
        <v>663654</v>
      </c>
      <c r="BA28" s="28"/>
      <c r="BB28" s="44">
        <v>428802</v>
      </c>
      <c r="BC28" s="28"/>
      <c r="BD28" s="44">
        <f>BD5</f>
        <v>665054</v>
      </c>
      <c r="BE28" s="28"/>
    </row>
    <row r="29" spans="1:57" ht="15.6" customHeight="1">
      <c r="A29" s="21" t="s">
        <v>188</v>
      </c>
      <c r="B29" s="40">
        <v>222324</v>
      </c>
      <c r="D29" s="40">
        <v>239819</v>
      </c>
      <c r="F29" s="40">
        <v>264140</v>
      </c>
      <c r="H29" s="40">
        <v>137313</v>
      </c>
      <c r="J29" s="40">
        <v>281223</v>
      </c>
      <c r="L29" s="40">
        <v>270828</v>
      </c>
      <c r="N29" s="40">
        <v>237798</v>
      </c>
      <c r="P29" s="40">
        <v>272793</v>
      </c>
      <c r="R29" s="40">
        <v>238759</v>
      </c>
      <c r="T29" s="40">
        <v>196525</v>
      </c>
      <c r="V29" s="40">
        <v>187092</v>
      </c>
      <c r="X29" s="40">
        <v>218925</v>
      </c>
      <c r="Z29" s="40">
        <v>262039</v>
      </c>
      <c r="AB29" s="40">
        <v>224347</v>
      </c>
      <c r="AD29" s="40">
        <v>155076</v>
      </c>
      <c r="AF29" s="40">
        <v>171856</v>
      </c>
      <c r="AH29" s="40">
        <v>164134</v>
      </c>
      <c r="AJ29" s="40">
        <v>284069</v>
      </c>
      <c r="AL29" s="40">
        <v>193296</v>
      </c>
      <c r="AN29" s="40">
        <v>234289</v>
      </c>
      <c r="AP29" s="40">
        <v>593457</v>
      </c>
      <c r="AR29" s="40">
        <v>494568</v>
      </c>
      <c r="AT29" s="40">
        <v>361040</v>
      </c>
      <c r="AV29" s="40">
        <v>364952</v>
      </c>
      <c r="AX29" s="40">
        <v>603040</v>
      </c>
      <c r="AZ29" s="44">
        <v>663654</v>
      </c>
      <c r="BA29" s="28"/>
      <c r="BB29" s="44">
        <v>428802</v>
      </c>
      <c r="BC29" s="28"/>
      <c r="BD29" s="44">
        <v>665054</v>
      </c>
      <c r="BE29" s="28"/>
    </row>
    <row r="30" spans="1:57" ht="15.6" customHeight="1">
      <c r="A30" s="20" t="s">
        <v>189</v>
      </c>
      <c r="B30" s="40">
        <f>31+31+30</f>
        <v>92</v>
      </c>
      <c r="D30" s="40">
        <f>31+31+30</f>
        <v>92</v>
      </c>
      <c r="F30" s="40">
        <f>30+31+30</f>
        <v>91</v>
      </c>
      <c r="H30" s="40">
        <f>31+28+31</f>
        <v>90</v>
      </c>
      <c r="J30" s="40">
        <f>31+30+31</f>
        <v>92</v>
      </c>
      <c r="L30" s="40">
        <f>31+31+30</f>
        <v>92</v>
      </c>
      <c r="N30" s="40">
        <f>30+31+30</f>
        <v>91</v>
      </c>
      <c r="P30" s="40">
        <f>31+28+31</f>
        <v>90</v>
      </c>
      <c r="R30" s="40">
        <f>31+31+30</f>
        <v>92</v>
      </c>
      <c r="T30" s="40">
        <f>31+31+30</f>
        <v>92</v>
      </c>
      <c r="V30" s="40">
        <f>30+31+30</f>
        <v>91</v>
      </c>
      <c r="X30" s="40">
        <f>31+29+31</f>
        <v>91</v>
      </c>
      <c r="Z30" s="40">
        <f>31+31+30</f>
        <v>92</v>
      </c>
      <c r="AB30" s="40">
        <f>31+31+30</f>
        <v>92</v>
      </c>
      <c r="AD30" s="40">
        <f>30+31+30</f>
        <v>91</v>
      </c>
      <c r="AF30" s="40">
        <f>31+28+31</f>
        <v>90</v>
      </c>
      <c r="AH30" s="40">
        <f>31+31+30</f>
        <v>92</v>
      </c>
      <c r="AJ30" s="40">
        <f>31+31+30</f>
        <v>92</v>
      </c>
      <c r="AL30" s="40">
        <f>30+31+30</f>
        <v>91</v>
      </c>
      <c r="AN30" s="40">
        <f>31+28+31</f>
        <v>90</v>
      </c>
      <c r="AP30" s="40">
        <v>92</v>
      </c>
      <c r="AQ30" s="40"/>
      <c r="AR30" s="40">
        <v>92</v>
      </c>
      <c r="AT30" s="40">
        <v>91</v>
      </c>
      <c r="AV30" s="40">
        <f>31+28+31</f>
        <v>90</v>
      </c>
      <c r="AX30" s="40">
        <v>92</v>
      </c>
      <c r="AZ30" s="40">
        <v>92</v>
      </c>
      <c r="BA30" s="28"/>
      <c r="BB30" s="44">
        <v>91</v>
      </c>
      <c r="BC30" s="28"/>
      <c r="BD30" s="44">
        <f>31+29+31</f>
        <v>91</v>
      </c>
      <c r="BE30" s="28"/>
    </row>
    <row r="31" spans="1:57" ht="15.6" customHeight="1">
      <c r="A31" s="20" t="s">
        <v>190</v>
      </c>
      <c r="B31" s="40">
        <f>B30/(B27/((B28+D28)/2))</f>
        <v>38.582326461311276</v>
      </c>
      <c r="D31" s="40">
        <f>D30/(D27/((D28+F28)/2))</f>
        <v>34.703040102723847</v>
      </c>
      <c r="F31" s="40">
        <f>F30/(F27/((F28+H28)/2))</f>
        <v>30.447313682842072</v>
      </c>
      <c r="H31" s="40">
        <f>H30/(H27/((H28+J28)/2))</f>
        <v>34.124880420918366</v>
      </c>
      <c r="J31" s="40">
        <f>J30/(J27/((J28+L28)/2))</f>
        <v>37.60320379551149</v>
      </c>
      <c r="L31" s="40">
        <f>L30/(L27/((L28+N28)/2))</f>
        <v>27.453403090048234</v>
      </c>
      <c r="N31" s="40">
        <f>N30/(N27/((N28+P28)/2))</f>
        <v>26.128872098218753</v>
      </c>
      <c r="P31" s="40">
        <f>P30/(P27/((P28+R28)/2))</f>
        <v>30.852524246381918</v>
      </c>
      <c r="R31" s="40">
        <f>R30/(R27/((R28+T28)/2))</f>
        <v>25.021801720758056</v>
      </c>
      <c r="T31" s="40">
        <f>T30/(T27/((T28+V28)/2))</f>
        <v>23.960828295676823</v>
      </c>
      <c r="V31" s="40">
        <f>V30/(V27/((V28+X28)/2))</f>
        <v>24.174079285797671</v>
      </c>
      <c r="X31" s="40">
        <f>X30/(X27/((X28+Z28)/2))</f>
        <v>22.571612429410759</v>
      </c>
      <c r="Z31" s="40">
        <f>Z30/(Z27/((Z28+AB28)/2))</f>
        <v>20.392109877685641</v>
      </c>
      <c r="AB31" s="40">
        <f>AB30/(AB27/((AB28+AD28)/2))</f>
        <v>18.621133874473649</v>
      </c>
      <c r="AD31" s="40">
        <f>AD30/(AD27/((AD28+AF28)/2))</f>
        <v>23.014127125143322</v>
      </c>
      <c r="AF31" s="40">
        <f>AF30/(AF27/((AF28+AH28)/2))</f>
        <v>16.924765631010342</v>
      </c>
      <c r="AH31" s="40">
        <f>AH30/(AH27/((AH28+AJ28)/2))</f>
        <v>18.565562355489085</v>
      </c>
      <c r="AJ31" s="40">
        <f>AJ30/(AJ27/((AJ28+AL28)/2))</f>
        <v>15.965492932520435</v>
      </c>
      <c r="AL31" s="40">
        <f>AL30/(AL27/((AL28+AN28)/2))</f>
        <v>19.466128588146209</v>
      </c>
      <c r="AN31" s="40">
        <f>AN30/(AN27/((AN28+AP28)/2))</f>
        <v>33.885422777361626</v>
      </c>
      <c r="AP31" s="40">
        <f>$AP$30/($AP$27/((AP28+AR28)/2))</f>
        <v>39.421859370058449</v>
      </c>
      <c r="AR31" s="40">
        <f>AR30/(AR27/((AR28+AT28)/2))</f>
        <v>37.462704978809057</v>
      </c>
      <c r="AT31" s="40">
        <f>AT30/(AT27/((AT28+AV28)/2))</f>
        <v>34.582520836321414</v>
      </c>
      <c r="AV31" s="40">
        <f>AV30/(AV27/((AV28+AX28)/2))</f>
        <v>50.586099856114103</v>
      </c>
      <c r="AX31" s="40">
        <f>AX30/(AX27/((AX28+AZ28)/2))</f>
        <v>49.209240890645518</v>
      </c>
      <c r="AZ31" s="40">
        <f>AZ30/(AZ27/((AZ28+BB28)/2))</f>
        <v>41.125500228325073</v>
      </c>
      <c r="BA31" s="28"/>
      <c r="BB31" s="44">
        <v>38.54564717690721</v>
      </c>
      <c r="BC31" s="28"/>
      <c r="BD31" s="44">
        <f>BD30/(BD27/((BD28+558802)/2))</f>
        <v>39.067829513110084</v>
      </c>
      <c r="BE31" s="28"/>
    </row>
    <row r="32" spans="1:57" ht="15.6" customHeight="1">
      <c r="A32" s="20" t="s">
        <v>191</v>
      </c>
      <c r="B32" s="40">
        <f>B30/(B27/((B29+D29)/2))</f>
        <v>36.166714869495095</v>
      </c>
      <c r="D32" s="40">
        <f>D30/(D27/((D29+F29)/2))</f>
        <v>34.452487248689202</v>
      </c>
      <c r="F32" s="40">
        <f>F30/(F27/((F29+H29)/2))</f>
        <v>30.44428027367351</v>
      </c>
      <c r="H32" s="40">
        <f>H30/(H27/((H29+J29)/2))</f>
        <v>34.123738984230059</v>
      </c>
      <c r="J32" s="40">
        <f>J30/(J27/((J29+L29)/2))</f>
        <v>37.60320379551149</v>
      </c>
      <c r="L32" s="40">
        <f>L30/(L27/((L29+N29)/2))</f>
        <v>27.298454975883061</v>
      </c>
      <c r="N32" s="40">
        <f>N30/(N27/((N29+P29)/2))</f>
        <v>25.821646737934394</v>
      </c>
      <c r="P32" s="40">
        <f>P30/(P27/((P29+R29)/2))</f>
        <v>30.491550523340369</v>
      </c>
      <c r="R32" s="40">
        <f>R30/(R27/((R29+T29)/2))</f>
        <v>24.080828003569479</v>
      </c>
      <c r="T32" s="40">
        <f>T30/(T27/((T29+V29)/2))</f>
        <v>22.312422791407514</v>
      </c>
      <c r="V32" s="40">
        <f>V30/(V27/((V29+X29)/2))</f>
        <v>23.189700578808164</v>
      </c>
      <c r="X32" s="40">
        <f>X30/(X27/((X29+Z29)/2))</f>
        <v>22.290984541669044</v>
      </c>
      <c r="Z32" s="40">
        <f>Z30/(Z27/((Z29+AB29)/2))</f>
        <v>20.140062003334211</v>
      </c>
      <c r="AB32" s="40">
        <f>AB30/(AB27/((AB29+AD29)/2))</f>
        <v>18.327496298474237</v>
      </c>
      <c r="AD32" s="40">
        <f>AD30/(AD27/((AD29+AF29)/2))</f>
        <v>22.590349058824422</v>
      </c>
      <c r="AF32" s="40">
        <f>AF30/(AF27/((AF29+AH29)/2))</f>
        <v>16.616898746002263</v>
      </c>
      <c r="AH32" s="40">
        <f>AH30/(AH27/((AH29+AJ29)/2))</f>
        <v>18.299764344580591</v>
      </c>
      <c r="AJ32" s="40">
        <f>AJ30/(AJ27/((AJ29+AL29)/2))</f>
        <v>15.731708016019143</v>
      </c>
      <c r="AL32" s="40">
        <f>AL30/(AL27/((AL29+AN29)/2))</f>
        <v>19.131978385076067</v>
      </c>
      <c r="AN32" s="40">
        <f>AN30/(AN27/((AN29+AP29)/2))</f>
        <v>33.616932754528307</v>
      </c>
      <c r="AP32" s="40">
        <f>AP30/(AP27/((AP29+AR29)/2))</f>
        <v>39.082731074227219</v>
      </c>
      <c r="AQ32" s="40"/>
      <c r="AR32" s="40">
        <f>AR30/(AR27/((AR29+AT29)/2))</f>
        <v>37.175505593143335</v>
      </c>
      <c r="AS32" s="40"/>
      <c r="AT32" s="40">
        <f>AT30/(AT27/((AT29+AV29)/2))</f>
        <v>34.582520836321414</v>
      </c>
      <c r="AU32" s="40"/>
      <c r="AV32" s="40">
        <f>AV30/(AV27/((AV29+AX29)/2))</f>
        <v>50.586099856114103</v>
      </c>
      <c r="AW32" s="40"/>
      <c r="AX32" s="40">
        <f>AX30/(AX27/((AX29+AZ29)/2))</f>
        <v>49.209240890645518</v>
      </c>
      <c r="AY32" s="40"/>
      <c r="AZ32" s="40">
        <f>AZ30/(AZ27/((AZ29+BB29)/2))</f>
        <v>41.125500228325073</v>
      </c>
      <c r="BA32" s="40"/>
      <c r="BB32" s="40">
        <f>BB30/(BB27/((BB29+BD29)/2))</f>
        <v>38.54564717690721</v>
      </c>
      <c r="BC32" s="40"/>
      <c r="BD32" s="40">
        <f>BD30/(BD27/((BD29+558802)/2))</f>
        <v>39.067829513110084</v>
      </c>
      <c r="BE32" s="28"/>
    </row>
    <row r="33" spans="1:57" ht="15.6" customHeight="1">
      <c r="B33" s="40"/>
      <c r="D33" s="40"/>
      <c r="F33" s="40"/>
      <c r="H33" s="40"/>
      <c r="J33" s="40"/>
      <c r="L33" s="40"/>
      <c r="N33" s="40"/>
      <c r="P33" s="40"/>
      <c r="R33" s="40"/>
      <c r="T33" s="40"/>
      <c r="V33" s="40"/>
      <c r="X33" s="40"/>
      <c r="Z33" s="40"/>
      <c r="AB33" s="40"/>
      <c r="AD33" s="40"/>
      <c r="AF33" s="40"/>
      <c r="AH33" s="40"/>
      <c r="AJ33" s="40"/>
      <c r="AL33" s="40"/>
      <c r="AN33" s="40"/>
      <c r="AP33" s="40"/>
      <c r="AR33" s="40"/>
      <c r="AT33" s="40"/>
      <c r="AV33" s="40"/>
      <c r="AX33" s="40"/>
      <c r="AZ33" s="44"/>
      <c r="BA33" s="28"/>
      <c r="BB33" s="44"/>
      <c r="BC33" s="28"/>
      <c r="BD33" s="44"/>
      <c r="BE33" s="28"/>
    </row>
    <row r="34" spans="1:57" ht="15.6" customHeight="1">
      <c r="A34" s="20" t="s">
        <v>0</v>
      </c>
      <c r="B34" s="40">
        <f>-季度簡明合併損益表!B4</f>
        <v>545862</v>
      </c>
      <c r="D34" s="40">
        <v>585538</v>
      </c>
      <c r="F34" s="40">
        <v>471447</v>
      </c>
      <c r="H34" s="40">
        <v>384527</v>
      </c>
      <c r="J34" s="40">
        <v>478334</v>
      </c>
      <c r="L34" s="40">
        <v>602845</v>
      </c>
      <c r="N34" s="40">
        <v>644630</v>
      </c>
      <c r="P34" s="40">
        <v>548520</v>
      </c>
      <c r="R34" s="40">
        <v>533706</v>
      </c>
      <c r="T34" s="40">
        <v>506611</v>
      </c>
      <c r="V34" s="40">
        <v>500846</v>
      </c>
      <c r="X34" s="40">
        <v>613240</v>
      </c>
      <c r="Z34" s="40">
        <v>646306</v>
      </c>
      <c r="AB34" s="40">
        <v>547225</v>
      </c>
      <c r="AD34" s="40">
        <v>403323</v>
      </c>
      <c r="AF34" s="40">
        <v>530090</v>
      </c>
      <c r="AH34" s="40">
        <v>685726</v>
      </c>
      <c r="AJ34" s="40">
        <v>798154</v>
      </c>
      <c r="AL34" s="40">
        <v>542663</v>
      </c>
      <c r="AN34" s="40">
        <v>558453</v>
      </c>
      <c r="AP34" s="40">
        <f>-季度簡明合併損益表!AP4</f>
        <v>667492</v>
      </c>
      <c r="AR34" s="40">
        <v>617622</v>
      </c>
      <c r="AT34" s="40">
        <v>519202</v>
      </c>
      <c r="AV34" s="40">
        <v>473059</v>
      </c>
      <c r="AX34" s="40">
        <v>654098</v>
      </c>
      <c r="AZ34" s="44">
        <v>648046</v>
      </c>
      <c r="BA34" s="28"/>
      <c r="BB34" s="44">
        <v>664188</v>
      </c>
      <c r="BC34" s="28"/>
      <c r="BD34" s="44">
        <v>733231</v>
      </c>
      <c r="BE34" s="28"/>
    </row>
    <row r="35" spans="1:57" ht="15.6" customHeight="1">
      <c r="A35" s="21" t="s">
        <v>1</v>
      </c>
      <c r="B35" s="40">
        <v>741746</v>
      </c>
      <c r="D35" s="40">
        <v>776218</v>
      </c>
      <c r="F35" s="40">
        <v>915984</v>
      </c>
      <c r="H35" s="40">
        <v>970448</v>
      </c>
      <c r="J35" s="40">
        <v>752261</v>
      </c>
      <c r="L35" s="40">
        <v>827797</v>
      </c>
      <c r="N35" s="40">
        <v>718611</v>
      </c>
      <c r="P35" s="40">
        <v>708281</v>
      </c>
      <c r="R35" s="40">
        <v>657097</v>
      </c>
      <c r="T35" s="40">
        <v>691653</v>
      </c>
      <c r="V35" s="40">
        <v>691264</v>
      </c>
      <c r="X35" s="40">
        <v>692528</v>
      </c>
      <c r="Z35" s="40">
        <v>532962</v>
      </c>
      <c r="AB35" s="40">
        <f>362042+124978</f>
        <v>487020</v>
      </c>
      <c r="AD35" s="40">
        <v>645596</v>
      </c>
      <c r="AF35" s="40">
        <v>609515</v>
      </c>
      <c r="AH35" s="40">
        <v>643190</v>
      </c>
      <c r="AJ35" s="40">
        <f>509343+126536</f>
        <v>635879</v>
      </c>
      <c r="AL35" s="40">
        <f>560753+103259</f>
        <v>664012</v>
      </c>
      <c r="AN35" s="40">
        <v>526690</v>
      </c>
      <c r="AP35" s="40">
        <v>475640</v>
      </c>
      <c r="AR35" s="40">
        <v>586410</v>
      </c>
      <c r="AT35" s="40">
        <v>658531</v>
      </c>
      <c r="AV35" s="40">
        <v>572942</v>
      </c>
      <c r="AX35" s="40">
        <v>576040</v>
      </c>
      <c r="AZ35" s="44">
        <v>401095</v>
      </c>
      <c r="BA35" s="28"/>
      <c r="BB35" s="44">
        <v>328794</v>
      </c>
      <c r="BC35" s="28"/>
      <c r="BD35" s="44">
        <v>335163</v>
      </c>
      <c r="BE35" s="28"/>
    </row>
    <row r="36" spans="1:57" ht="15.6" customHeight="1">
      <c r="A36" s="21" t="s">
        <v>192</v>
      </c>
      <c r="B36" s="40">
        <f>B6</f>
        <v>294158</v>
      </c>
      <c r="D36" s="40">
        <f>D6</f>
        <v>430526</v>
      </c>
      <c r="F36" s="40">
        <f>F6</f>
        <v>691617</v>
      </c>
      <c r="H36" s="40">
        <v>813040</v>
      </c>
      <c r="J36" s="40">
        <v>588499</v>
      </c>
      <c r="L36" s="40">
        <v>686987</v>
      </c>
      <c r="N36" s="40">
        <v>582756</v>
      </c>
      <c r="P36" s="40">
        <v>590828</v>
      </c>
      <c r="R36" s="40">
        <v>552363</v>
      </c>
      <c r="T36" s="40">
        <v>597177</v>
      </c>
      <c r="V36" s="40">
        <v>600965</v>
      </c>
      <c r="X36" s="40">
        <v>611199</v>
      </c>
      <c r="Z36" s="40">
        <v>448137</v>
      </c>
      <c r="AB36" s="40">
        <v>362042</v>
      </c>
      <c r="AD36" s="40">
        <v>500135</v>
      </c>
      <c r="AF36" s="40">
        <v>486091</v>
      </c>
      <c r="AH36" s="40">
        <v>512045</v>
      </c>
      <c r="AJ36" s="40">
        <f>509343</f>
        <v>509343</v>
      </c>
      <c r="AL36" s="40">
        <v>560753</v>
      </c>
      <c r="AN36" s="40">
        <f>AN6</f>
        <v>430168</v>
      </c>
      <c r="AP36" s="40">
        <f>AP6</f>
        <v>386480</v>
      </c>
      <c r="AQ36" s="40">
        <f t="shared" ref="AQ36:BB36" si="2">AQ6</f>
        <v>0</v>
      </c>
      <c r="AR36" s="40">
        <f t="shared" si="2"/>
        <v>458841</v>
      </c>
      <c r="AS36" s="40"/>
      <c r="AT36" s="40">
        <f t="shared" si="2"/>
        <v>550460</v>
      </c>
      <c r="AU36" s="40"/>
      <c r="AV36" s="40">
        <f t="shared" si="2"/>
        <v>495408</v>
      </c>
      <c r="AW36" s="40"/>
      <c r="AX36" s="40">
        <f t="shared" si="2"/>
        <v>503524</v>
      </c>
      <c r="AY36" s="40">
        <f t="shared" si="2"/>
        <v>0</v>
      </c>
      <c r="AZ36" s="40">
        <f t="shared" si="2"/>
        <v>375785</v>
      </c>
      <c r="BA36" s="40"/>
      <c r="BB36" s="40">
        <f t="shared" si="2"/>
        <v>311444</v>
      </c>
      <c r="BC36" s="28"/>
      <c r="BD36" s="44"/>
      <c r="BE36" s="28"/>
    </row>
    <row r="37" spans="1:57" ht="15.6" customHeight="1">
      <c r="A37" s="20" t="s">
        <v>189</v>
      </c>
      <c r="B37" s="40">
        <f>B30</f>
        <v>92</v>
      </c>
      <c r="D37" s="40">
        <f>D30</f>
        <v>92</v>
      </c>
      <c r="F37" s="40">
        <f>F30</f>
        <v>91</v>
      </c>
      <c r="H37" s="40">
        <f>H30</f>
        <v>90</v>
      </c>
      <c r="J37" s="40">
        <f>J30</f>
        <v>92</v>
      </c>
      <c r="L37" s="40">
        <f>L30</f>
        <v>92</v>
      </c>
      <c r="N37" s="40">
        <f>N30</f>
        <v>91</v>
      </c>
      <c r="P37" s="40">
        <f>P30</f>
        <v>90</v>
      </c>
      <c r="R37" s="40">
        <f>R30</f>
        <v>92</v>
      </c>
      <c r="T37" s="40">
        <f>T30</f>
        <v>92</v>
      </c>
      <c r="V37" s="40">
        <f>V30</f>
        <v>91</v>
      </c>
      <c r="X37" s="40">
        <f>X30</f>
        <v>91</v>
      </c>
      <c r="Z37" s="40">
        <f>Z30</f>
        <v>92</v>
      </c>
      <c r="AB37" s="40">
        <f>AB30</f>
        <v>92</v>
      </c>
      <c r="AD37" s="40">
        <f>AD30</f>
        <v>91</v>
      </c>
      <c r="AF37" s="40">
        <f>AF30</f>
        <v>90</v>
      </c>
      <c r="AH37" s="40">
        <f>AH30</f>
        <v>92</v>
      </c>
      <c r="AJ37" s="40">
        <f>AJ30</f>
        <v>92</v>
      </c>
      <c r="AL37" s="40">
        <f>AL30</f>
        <v>91</v>
      </c>
      <c r="AN37" s="40">
        <v>90</v>
      </c>
      <c r="AP37" s="40">
        <f>AP30</f>
        <v>92</v>
      </c>
      <c r="AQ37" s="40"/>
      <c r="AR37" s="40">
        <v>92</v>
      </c>
      <c r="AT37" s="40">
        <v>91</v>
      </c>
      <c r="AV37" s="40">
        <v>90</v>
      </c>
      <c r="AX37" s="40">
        <v>92</v>
      </c>
      <c r="AZ37" s="40">
        <v>92</v>
      </c>
      <c r="BA37" s="28"/>
      <c r="BB37" s="44">
        <v>91</v>
      </c>
      <c r="BC37" s="28"/>
      <c r="BD37" s="44">
        <f>31+29+31</f>
        <v>91</v>
      </c>
      <c r="BE37" s="28"/>
    </row>
    <row r="38" spans="1:57" ht="15.6" customHeight="1">
      <c r="A38" s="20" t="s">
        <v>193</v>
      </c>
      <c r="B38" s="40">
        <f>B37/(B34/((B35+D35)/2))</f>
        <v>127.91940820207304</v>
      </c>
      <c r="D38" s="40">
        <f>D37/(D34/((D35+F35)/2))</f>
        <v>132.93977846015119</v>
      </c>
      <c r="F38" s="40">
        <f>F37/(F34/((F35+H35)/2))</f>
        <v>182.06215332794568</v>
      </c>
      <c r="H38" s="40">
        <f>H37/(H34/((H35+J35)/2))</f>
        <v>201.60328143407355</v>
      </c>
      <c r="J38" s="40">
        <f>J37/(J34/((J35+L35)/2))</f>
        <v>151.94961679495916</v>
      </c>
      <c r="L38" s="40">
        <f>L37/(L34/((L35+N35)/2))</f>
        <v>117.99843740928432</v>
      </c>
      <c r="N38" s="40">
        <f>N37/(N34/((N35+P35)/2))</f>
        <v>100.71449668802258</v>
      </c>
      <c r="P38" s="40">
        <f>P37/(P34/((P35+R35)/2))</f>
        <v>112.01416539050535</v>
      </c>
      <c r="R38" s="40">
        <f>R37/(R34/((R35+T35)/2))</f>
        <v>116.24845888935107</v>
      </c>
      <c r="T38" s="40">
        <f>T37/(T34/((T35+V35)/2))</f>
        <v>125.5681025481089</v>
      </c>
      <c r="V38" s="40">
        <f>V37/(V34/((V35+X35)/2))</f>
        <v>125.7123666755849</v>
      </c>
      <c r="X38" s="40">
        <f>X37/(X34/((X35+Z35)/2))</f>
        <v>90.92654588741766</v>
      </c>
      <c r="Z38" s="40">
        <f>Z37/(Z34/((Z35+AB35)/2))</f>
        <v>72.595909677459289</v>
      </c>
      <c r="AB38" s="40">
        <f>AB37/(AB34/((AB35+AD35)/2))</f>
        <v>95.208252546941381</v>
      </c>
      <c r="AD38" s="40">
        <f>AD37/(AD34/((AD35+AF35)/2))</f>
        <v>141.59259576071784</v>
      </c>
      <c r="AF38" s="40">
        <f>AF37/(AF34/((AF35+AH35)/2))</f>
        <v>106.34368692108887</v>
      </c>
      <c r="AH38" s="40">
        <f>AH37/(AH34/((AH35+AJ35)/2))</f>
        <v>85.802746286417602</v>
      </c>
      <c r="AJ38" s="40">
        <f>AJ37/(AJ34/((AJ35+AL35)/2))</f>
        <v>74.916602560408137</v>
      </c>
      <c r="AL38" s="40">
        <f>AL37/(AL34/((AL35+AN35)/2))</f>
        <v>99.835332425464799</v>
      </c>
      <c r="AN38" s="40">
        <f>AN37/(AN34/((AN35+AP35)/2))</f>
        <v>80.767495205505199</v>
      </c>
      <c r="AP38" s="40">
        <f>AP37/(AP34/((AP35+AR35)/2))</f>
        <v>73.190839740401387</v>
      </c>
      <c r="AR38" s="40">
        <f>AR37/(AR34/((AR35+AT35)/2))</f>
        <v>92.722224920744409</v>
      </c>
      <c r="AT38" s="40">
        <f>AT37/(AT34/((AT35+AV35)/2))</f>
        <v>107.91950242872716</v>
      </c>
      <c r="AV38" s="40">
        <f>AV37/(AV34/((AV35+AX35)/2))</f>
        <v>109.29755062264961</v>
      </c>
      <c r="AX38" s="40">
        <f>AX37/(AX34/((AX35+AZ35)/2))</f>
        <v>68.717852676510248</v>
      </c>
      <c r="AZ38" s="40">
        <f>AZ37/(AZ34/((AZ35+BB35)/2))</f>
        <v>51.80943019477013</v>
      </c>
      <c r="BA38" s="28"/>
      <c r="BB38" s="44">
        <v>45.484175414189963</v>
      </c>
      <c r="BC38" s="28"/>
      <c r="BD38" s="44" t="e">
        <f>BD37/(BD34/((BD35+#REF!)/2))</f>
        <v>#REF!</v>
      </c>
      <c r="BE38" s="28"/>
    </row>
    <row r="39" spans="1:57" ht="15.6" customHeight="1">
      <c r="A39" s="20" t="s">
        <v>194</v>
      </c>
      <c r="B39" s="40">
        <f>B37/(B34/AVERAGE(B36,D36))</f>
        <v>61.069398492659317</v>
      </c>
      <c r="D39" s="40">
        <f>D37/(D34/AVERAGE(D36,F36))</f>
        <v>88.155812261544085</v>
      </c>
      <c r="F39" s="40">
        <f>F37/(F34/AVERAGE(F36,H36))</f>
        <v>145.21652168748557</v>
      </c>
      <c r="H39" s="40">
        <f>H37/(H34/AVERAGE(H36,J36))</f>
        <v>164.01775427993351</v>
      </c>
      <c r="J39" s="40">
        <f>J37/(J34/AVERAGE(J36,L36))</f>
        <v>122.65980674591394</v>
      </c>
      <c r="L39" s="40">
        <f>L37/(L34/AVERAGE(L36,N36))</f>
        <v>96.887554844114149</v>
      </c>
      <c r="N39" s="40">
        <f>N37/(N34/AVERAGE(N36,P36))</f>
        <v>82.835226408947776</v>
      </c>
      <c r="P39" s="40">
        <f>P37/(P34/AVERAGE(P36,R36))</f>
        <v>93.786179173047472</v>
      </c>
      <c r="R39" s="40">
        <f>R37/(R34/AVERAGE(R36,T36))</f>
        <v>99.078593832559505</v>
      </c>
      <c r="T39" s="40">
        <f>T37/(T34/AVERAGE(T36,V36))</f>
        <v>108.790634234156</v>
      </c>
      <c r="V39" s="40">
        <f>V37/(V34/AVERAGE(V36,X36))</f>
        <v>110.12059994489324</v>
      </c>
      <c r="X39" s="40">
        <f>X37/(X34/AVERAGE(X36,Z36))</f>
        <v>78.5985715217533</v>
      </c>
      <c r="Z39" s="40">
        <f>Z37/(Z34/AVERAGE(Z36,AB36))</f>
        <v>57.663450439884507</v>
      </c>
      <c r="AB39" s="40">
        <f>AB37/(AB34/AVERAGE(AB36,AD36))</f>
        <v>72.475018502444158</v>
      </c>
      <c r="AD39" s="40">
        <f>AD37/(AD34/AVERAGE(AD36,AF36))</f>
        <v>111.2589239889617</v>
      </c>
      <c r="AF39" s="40">
        <f>AF37/(AF34/AVERAGE(AF36,AH36))</f>
        <v>84.733007602482587</v>
      </c>
      <c r="AH39" s="40">
        <f>AH37/(AH34/AVERAGE(AH36,AJ36))</f>
        <v>68.516941168921704</v>
      </c>
      <c r="AJ39" s="40">
        <f>AJ37/(AJ34/AVERAGE(AJ36,AL36))</f>
        <v>61.672830055352733</v>
      </c>
      <c r="AL39" s="40">
        <f>AL37/(AL34/AVERAGE(AL36,AN36))</f>
        <v>83.084539576127355</v>
      </c>
      <c r="AN39" s="40">
        <f>AN37/(AN34/AVERAGE(AN36,AP36))</f>
        <v>65.805287105629304</v>
      </c>
      <c r="AP39" s="40">
        <f>AP37/(AP34/AVERAGE(AP36,AR36))</f>
        <v>58.255029273759092</v>
      </c>
      <c r="AQ39" s="40"/>
      <c r="AR39" s="40">
        <f>AR37/(AR34/AVERAGE(AR36,AT36))</f>
        <v>75.171943356940005</v>
      </c>
      <c r="AS39" s="40"/>
      <c r="AT39" s="40">
        <f>AT37/(AT34/AVERAGE(AT36,AV36))</f>
        <v>91.654103797751162</v>
      </c>
      <c r="AU39" s="40"/>
      <c r="AV39" s="40">
        <f>AV37/(AV34/AVERAGE(AV36,AX36))</f>
        <v>95.023961070395018</v>
      </c>
      <c r="AW39" s="40"/>
      <c r="AX39" s="40">
        <f>AX37/(AX34/AVERAGE(AX36,AZ36))</f>
        <v>61.838155750361565</v>
      </c>
      <c r="AY39" s="40"/>
      <c r="AZ39" s="40">
        <f>AZ37/(AZ34/AVERAGE(AZ36,BB36))</f>
        <v>48.781311820457184</v>
      </c>
      <c r="BA39" s="40"/>
      <c r="BB39" s="40">
        <f>BB37/(BB34/AVERAGE(BB36,BD36))</f>
        <v>42.670755870325877</v>
      </c>
      <c r="BC39" s="28"/>
      <c r="BD39" s="44"/>
      <c r="BE39" s="28"/>
    </row>
    <row r="40" spans="1:57" ht="15.6" customHeight="1">
      <c r="B40" s="40"/>
      <c r="D40" s="40"/>
      <c r="F40" s="40"/>
      <c r="H40" s="40"/>
      <c r="J40" s="40"/>
      <c r="L40" s="40"/>
      <c r="N40" s="40"/>
      <c r="P40" s="40"/>
      <c r="R40" s="40"/>
      <c r="T40" s="40"/>
      <c r="V40" s="40"/>
      <c r="X40" s="40"/>
      <c r="Z40" s="40"/>
      <c r="AB40" s="40"/>
      <c r="AD40" s="40"/>
      <c r="AF40" s="40"/>
      <c r="AH40" s="40"/>
      <c r="AJ40" s="40"/>
      <c r="AL40" s="40"/>
      <c r="AN40" s="40"/>
      <c r="AP40" s="40"/>
      <c r="AR40" s="40"/>
      <c r="AT40" s="40"/>
      <c r="AV40" s="40"/>
      <c r="AX40" s="40"/>
      <c r="AZ40" s="44"/>
      <c r="BA40" s="28"/>
      <c r="BB40" s="44"/>
      <c r="BC40" s="28"/>
      <c r="BD40" s="44"/>
      <c r="BE40" s="28"/>
    </row>
    <row r="41" spans="1:57" ht="15.6" customHeight="1">
      <c r="A41" s="20" t="s">
        <v>195</v>
      </c>
      <c r="B41" s="41">
        <f>B8/(B15+B16)</f>
        <v>3.7502671239894418</v>
      </c>
      <c r="D41" s="41">
        <f>D8/(D15+D16)</f>
        <v>4.9946723568919147</v>
      </c>
      <c r="F41" s="41">
        <f>F8/(F15+F16)</f>
        <v>6.114328579695842</v>
      </c>
      <c r="H41" s="41">
        <f>H8/(H15+H16)</f>
        <v>4.4741200140619117</v>
      </c>
      <c r="J41" s="41">
        <f>J8/(J15+J16)</f>
        <v>4.8773874414173024</v>
      </c>
      <c r="L41" s="41">
        <f>L8/(L15+L16)</f>
        <v>5.3044376548451764</v>
      </c>
      <c r="N41" s="41">
        <f>N8/(N15+N16)</f>
        <v>4.9215298259812945</v>
      </c>
      <c r="P41" s="41">
        <f>P8/(P15+P16)</f>
        <v>5.9179285795382448</v>
      </c>
      <c r="R41" s="41">
        <f>R8/(R15+R16)</f>
        <v>5.3934665246696722</v>
      </c>
      <c r="T41" s="41">
        <f>T8/(T15+T16)</f>
        <v>5.781797358363729</v>
      </c>
      <c r="V41" s="41">
        <f>V8/(V15+V16)</f>
        <v>6.734457391457962</v>
      </c>
      <c r="X41" s="41">
        <f>X8/(X15+X16)</f>
        <v>6.0001194032730973</v>
      </c>
      <c r="Z41" s="41">
        <f>Z8/(Z15+Z16)</f>
        <v>5.0016682865971305</v>
      </c>
      <c r="AB41" s="41">
        <f>AB8/(AB15+AB16)</f>
        <v>6.4443557494386852</v>
      </c>
      <c r="AD41" s="41">
        <f>AD8/(AD15+AD16)</f>
        <v>5.3506981728437824</v>
      </c>
      <c r="AF41" s="41">
        <f>AF8/(AF15+AF16)</f>
        <v>5.8826868082935411</v>
      </c>
      <c r="AH41" s="41">
        <f>AH8/(AH15+AH16)</f>
        <v>5.2142611779153762</v>
      </c>
      <c r="AJ41" s="41">
        <f>AJ8/(AJ15+AJ16)</f>
        <v>5.0691410311495018</v>
      </c>
      <c r="AL41" s="41">
        <f>AL8/(AL15+AL16)</f>
        <v>3.544053088496641</v>
      </c>
      <c r="AN41" s="41">
        <f>AN8/(AN15+AN16)</f>
        <v>5.3427667988471148</v>
      </c>
      <c r="AP41" s="41">
        <f>AP8/(AP15+AP16)</f>
        <v>5.1804729240202292</v>
      </c>
      <c r="AR41" s="41">
        <f>5447274/895552</f>
        <v>6.0825881690845423</v>
      </c>
      <c r="AT41" s="41">
        <v>3.754608308186647</v>
      </c>
      <c r="AV41" s="41">
        <v>4.5951395448690429</v>
      </c>
      <c r="AX41" s="41">
        <f>AX8/(AX15+AX16)</f>
        <v>3.6539661405728237</v>
      </c>
      <c r="AZ41" s="45">
        <f>5054077/1251636</f>
        <v>4.0379766961001442</v>
      </c>
      <c r="BA41" s="29"/>
      <c r="BB41" s="45">
        <v>3.0304275952100919</v>
      </c>
      <c r="BC41" s="29"/>
      <c r="BD41" s="45">
        <f>BD8/(BD15+BD16)</f>
        <v>3.583401413868303</v>
      </c>
      <c r="BE41" s="29"/>
    </row>
    <row r="42" spans="1:57" ht="15.6" customHeight="1"/>
    <row r="43" spans="1:57" ht="15.6" customHeight="1">
      <c r="B43" s="40"/>
      <c r="D43" s="40"/>
      <c r="F43" s="40"/>
      <c r="H43" s="40"/>
      <c r="J43" s="40"/>
      <c r="L43" s="40"/>
      <c r="N43" s="40"/>
      <c r="P43" s="40"/>
      <c r="R43" s="40"/>
      <c r="T43" s="40"/>
      <c r="V43" s="40"/>
      <c r="X43" s="40"/>
      <c r="Z43" s="40"/>
      <c r="AB43" s="40"/>
      <c r="AD43" s="40"/>
      <c r="AF43" s="40"/>
      <c r="AH43" s="40"/>
      <c r="AJ43" s="40"/>
      <c r="AL43" s="40"/>
      <c r="AN43" s="40"/>
      <c r="AP43" s="40"/>
      <c r="AR43" s="40"/>
      <c r="AT43" s="40"/>
      <c r="AV43" s="40"/>
      <c r="AX43" s="40"/>
      <c r="AZ43" s="44"/>
      <c r="BA43" s="28"/>
      <c r="BB43" s="44"/>
      <c r="BC43" s="28"/>
      <c r="BD43" s="44"/>
      <c r="BE43" s="28"/>
    </row>
    <row r="44" spans="1:57" ht="15.6" customHeight="1">
      <c r="A44" s="20" t="s">
        <v>0</v>
      </c>
      <c r="B44" s="40">
        <f>B34</f>
        <v>545862</v>
      </c>
      <c r="D44" s="40">
        <f>D34</f>
        <v>585538</v>
      </c>
      <c r="F44" s="40">
        <f>F34</f>
        <v>471447</v>
      </c>
      <c r="H44" s="40">
        <f>H34</f>
        <v>384527</v>
      </c>
      <c r="J44" s="40">
        <f>J34</f>
        <v>478334</v>
      </c>
      <c r="L44" s="40">
        <f>L34</f>
        <v>602845</v>
      </c>
      <c r="N44" s="40">
        <f>N34</f>
        <v>644630</v>
      </c>
      <c r="P44" s="40">
        <f>P34</f>
        <v>548520</v>
      </c>
      <c r="R44" s="40">
        <f>R34</f>
        <v>533706</v>
      </c>
      <c r="T44" s="40">
        <f>T34</f>
        <v>506611</v>
      </c>
      <c r="V44" s="40">
        <f>V34</f>
        <v>500846</v>
      </c>
      <c r="X44" s="40">
        <f>X34</f>
        <v>613240</v>
      </c>
      <c r="Z44" s="40">
        <f>Z34</f>
        <v>646306</v>
      </c>
      <c r="AB44" s="40">
        <f>AB34</f>
        <v>547225</v>
      </c>
      <c r="AD44" s="40">
        <f>AD34</f>
        <v>403323</v>
      </c>
      <c r="AF44" s="40">
        <f>AF34</f>
        <v>530090</v>
      </c>
      <c r="AH44" s="40">
        <f>AH34</f>
        <v>685726</v>
      </c>
      <c r="AJ44" s="40">
        <f>AJ34</f>
        <v>798154</v>
      </c>
      <c r="AL44" s="40">
        <f>AL34</f>
        <v>542663</v>
      </c>
      <c r="AN44" s="40">
        <v>558453</v>
      </c>
      <c r="AP44" s="40">
        <f>AP34</f>
        <v>667492</v>
      </c>
      <c r="AR44" s="40">
        <v>617622</v>
      </c>
      <c r="AT44" s="40">
        <v>519202</v>
      </c>
      <c r="AV44" s="40">
        <v>473059</v>
      </c>
      <c r="AX44" s="40">
        <v>654098</v>
      </c>
      <c r="AZ44" s="44">
        <v>648046</v>
      </c>
      <c r="BA44" s="28"/>
      <c r="BB44" s="44">
        <v>664188</v>
      </c>
      <c r="BC44" s="28"/>
      <c r="BD44" s="44">
        <f>BD34</f>
        <v>733231</v>
      </c>
      <c r="BE44" s="28"/>
    </row>
    <row r="45" spans="1:57" ht="15.6" customHeight="1">
      <c r="A45" s="21" t="s">
        <v>196</v>
      </c>
      <c r="B45" s="40">
        <f>B15</f>
        <v>405480</v>
      </c>
      <c r="D45" s="40">
        <f>D15</f>
        <v>356398</v>
      </c>
      <c r="F45" s="40">
        <f>F15</f>
        <v>286111</v>
      </c>
      <c r="H45" s="40">
        <f>H15</f>
        <v>614578</v>
      </c>
      <c r="J45" s="40">
        <f>J15</f>
        <v>407748</v>
      </c>
      <c r="L45" s="40">
        <f>L15</f>
        <v>471692</v>
      </c>
      <c r="N45" s="40">
        <f>N15</f>
        <v>540847</v>
      </c>
      <c r="P45" s="40">
        <f>P15</f>
        <v>474493</v>
      </c>
      <c r="R45" s="40">
        <f>R15</f>
        <v>448124</v>
      </c>
      <c r="T45" s="40">
        <f>T15</f>
        <v>410313</v>
      </c>
      <c r="V45" s="40">
        <f>V15</f>
        <v>388943</v>
      </c>
      <c r="X45" s="40">
        <f>X15</f>
        <v>525708</v>
      </c>
      <c r="Z45" s="40">
        <f>Z15</f>
        <v>633629</v>
      </c>
      <c r="AB45" s="40">
        <f>AB15</f>
        <v>345868</v>
      </c>
      <c r="AD45" s="40">
        <f>AD15</f>
        <v>324307</v>
      </c>
      <c r="AF45" s="40">
        <f>AF15</f>
        <v>451214</v>
      </c>
      <c r="AH45" s="40">
        <f>AH15</f>
        <v>511217</v>
      </c>
      <c r="AJ45" s="40">
        <f>AJ15</f>
        <v>604935</v>
      </c>
      <c r="AL45" s="40">
        <f>AL15</f>
        <v>484040</v>
      </c>
      <c r="AN45" s="40">
        <v>554009</v>
      </c>
      <c r="AP45" s="40">
        <f>AP15</f>
        <v>492527</v>
      </c>
      <c r="AR45" s="40">
        <v>456522</v>
      </c>
      <c r="AT45" s="40">
        <v>574761</v>
      </c>
      <c r="AV45" s="40">
        <v>491152</v>
      </c>
      <c r="AX45" s="40">
        <v>643566</v>
      </c>
      <c r="AZ45" s="44">
        <v>641041</v>
      </c>
      <c r="BA45" s="28"/>
      <c r="BB45" s="44">
        <v>667224</v>
      </c>
      <c r="BC45" s="28"/>
      <c r="BD45" s="44">
        <f>BD15</f>
        <v>862357</v>
      </c>
      <c r="BE45" s="28"/>
    </row>
    <row r="46" spans="1:57" ht="15.6" customHeight="1">
      <c r="A46" s="20" t="s">
        <v>189</v>
      </c>
      <c r="B46" s="40">
        <f>B30</f>
        <v>92</v>
      </c>
      <c r="D46" s="40">
        <f>D30</f>
        <v>92</v>
      </c>
      <c r="F46" s="40">
        <f>F30</f>
        <v>91</v>
      </c>
      <c r="H46" s="40">
        <f>H30</f>
        <v>90</v>
      </c>
      <c r="J46" s="40">
        <f>J30</f>
        <v>92</v>
      </c>
      <c r="L46" s="40">
        <f>L30</f>
        <v>92</v>
      </c>
      <c r="N46" s="40">
        <f>N30</f>
        <v>91</v>
      </c>
      <c r="P46" s="40">
        <f>P30</f>
        <v>90</v>
      </c>
      <c r="R46" s="40">
        <f>R30</f>
        <v>92</v>
      </c>
      <c r="T46" s="40">
        <f>T30</f>
        <v>92</v>
      </c>
      <c r="V46" s="40">
        <f>V30</f>
        <v>91</v>
      </c>
      <c r="X46" s="40">
        <f>X30</f>
        <v>91</v>
      </c>
      <c r="Z46" s="40">
        <f>Z30</f>
        <v>92</v>
      </c>
      <c r="AB46" s="40">
        <f>AB30</f>
        <v>92</v>
      </c>
      <c r="AD46" s="40">
        <f>AD30</f>
        <v>91</v>
      </c>
      <c r="AF46" s="40">
        <f>AF30</f>
        <v>90</v>
      </c>
      <c r="AH46" s="40">
        <f>AH30</f>
        <v>92</v>
      </c>
      <c r="AJ46" s="40">
        <f>AJ30</f>
        <v>92</v>
      </c>
      <c r="AL46" s="40">
        <f>AL30</f>
        <v>91</v>
      </c>
      <c r="AN46" s="40">
        <v>90</v>
      </c>
      <c r="AP46" s="40">
        <f>AP30</f>
        <v>92</v>
      </c>
      <c r="AR46" s="40">
        <v>92</v>
      </c>
      <c r="AT46" s="40">
        <v>91</v>
      </c>
      <c r="AV46" s="40">
        <v>90</v>
      </c>
      <c r="AX46" s="40">
        <v>92</v>
      </c>
      <c r="AZ46" s="44">
        <v>92</v>
      </c>
      <c r="BA46" s="28"/>
      <c r="BB46" s="44">
        <v>91</v>
      </c>
      <c r="BC46" s="28"/>
      <c r="BD46" s="44">
        <f>31+29+31</f>
        <v>91</v>
      </c>
      <c r="BE46" s="28"/>
    </row>
    <row r="47" spans="1:57" ht="15.6" customHeight="1">
      <c r="A47" s="20" t="s">
        <v>197</v>
      </c>
      <c r="B47" s="40">
        <f>B46/(B44/((B45+D45)/2))</f>
        <v>64.203751131238292</v>
      </c>
      <c r="D47" s="40">
        <f>D46/(D44/((D45+F45)/2))</f>
        <v>50.475654867830954</v>
      </c>
      <c r="F47" s="40">
        <f>F46/(F44/((F45+H45)/2))</f>
        <v>86.926737257846597</v>
      </c>
      <c r="H47" s="40">
        <f>H46/(H44/((H45+J45)/2))</f>
        <v>119.63963518816625</v>
      </c>
      <c r="J47" s="40">
        <f>J46/(J44/((J45+L45)/2))</f>
        <v>84.573206169747493</v>
      </c>
      <c r="L47" s="40">
        <f>L46/(L44/((L45+N45)/2))</f>
        <v>77.261641052011711</v>
      </c>
      <c r="N47" s="40">
        <f>N46/(N44/((N45+P45)/2))</f>
        <v>71.665870344228466</v>
      </c>
      <c r="P47" s="40">
        <f>P46/(P44/((P45+R45)/2))</f>
        <v>75.690521767665714</v>
      </c>
      <c r="R47" s="40">
        <f>R46/(R44/((R45+T45)/2))</f>
        <v>73.988491791360786</v>
      </c>
      <c r="T47" s="40">
        <f>T46/(T44/((T45+V45)/2))</f>
        <v>72.572004950543914</v>
      </c>
      <c r="V47" s="40">
        <f>V46/(V44/((V45+X45)/2))</f>
        <v>83.092648239179312</v>
      </c>
      <c r="X47" s="40">
        <f>X46/(X44/((X45+Z45)/2))</f>
        <v>86.01825304937708</v>
      </c>
      <c r="Z47" s="40">
        <f>Z46/(Z44/((Z45+AB45)/2))</f>
        <v>69.714441765974627</v>
      </c>
      <c r="AB47" s="40">
        <f>AB46/(AB44/((AB45+AD45)/2))</f>
        <v>56.335236876970164</v>
      </c>
      <c r="AD47" s="40">
        <f>AD46/(AD44/((AD45+AF45)/2))</f>
        <v>87.48870136342336</v>
      </c>
      <c r="AF47" s="40">
        <f>AF46/(AF44/((AF45+AH45)/2))</f>
        <v>81.701965703937063</v>
      </c>
      <c r="AH47" s="40">
        <f>AH46/(AH44/((AH45+AJ45)/2))</f>
        <v>74.873917570574832</v>
      </c>
      <c r="AJ47" s="40">
        <f>AJ46/(AJ44/((AJ45+AL45)/2))</f>
        <v>62.760883238071848</v>
      </c>
      <c r="AL47" s="40">
        <f>AL46/(AL44/((AL45+AN45)/2))</f>
        <v>87.036023277798563</v>
      </c>
      <c r="AN47" s="40">
        <f>AN46/(AN44/((AN45+AP45)/2))</f>
        <v>84.32960338649805</v>
      </c>
      <c r="AP47" s="40">
        <f>AP46/(AP44/((AP45+AR45)/2))</f>
        <v>65.403411576468329</v>
      </c>
      <c r="AR47" s="40">
        <f>AR46/(AR44/((AR45+AT45)/2))</f>
        <v>76.809145399613357</v>
      </c>
      <c r="AT47" s="40">
        <v>93.410737054171591</v>
      </c>
      <c r="AV47" s="40">
        <v>107.94067970380016</v>
      </c>
      <c r="AX47" s="40">
        <v>90.341083446211428</v>
      </c>
      <c r="AZ47" s="44">
        <f>AZ46/(AZ44/((AZ45+BB45)/2))</f>
        <v>92.864071377649111</v>
      </c>
      <c r="BA47" s="28"/>
      <c r="BB47" s="44">
        <v>104.78348825934826</v>
      </c>
      <c r="BC47" s="28"/>
      <c r="BD47" s="44" t="e">
        <f>BD46/(BD44/((BD45+#REF!)/2))</f>
        <v>#REF!</v>
      </c>
      <c r="BE47" s="28"/>
    </row>
    <row r="48" spans="1:57" ht="15.6" customHeight="1">
      <c r="B48" s="40"/>
      <c r="D48" s="40"/>
      <c r="F48" s="40"/>
      <c r="H48" s="40"/>
      <c r="J48" s="40"/>
      <c r="L48" s="40"/>
      <c r="N48" s="40"/>
      <c r="P48" s="40"/>
      <c r="R48" s="40"/>
      <c r="T48" s="40"/>
      <c r="V48" s="40"/>
      <c r="X48" s="40"/>
      <c r="Z48" s="40"/>
      <c r="AB48" s="40"/>
      <c r="AD48" s="40"/>
      <c r="AF48" s="40"/>
      <c r="AH48" s="40"/>
      <c r="AJ48" s="40"/>
      <c r="AL48" s="40"/>
      <c r="AN48" s="40"/>
      <c r="AP48" s="40"/>
      <c r="AR48" s="40"/>
      <c r="AT48" s="40"/>
      <c r="AV48" s="40"/>
      <c r="AX48" s="40"/>
    </row>
    <row r="49" spans="1:57" ht="15.6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ht="15.6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ht="15.6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ht="15.6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ht="15.6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</sheetData>
  <customSheetViews>
    <customSheetView guid="{6CC4FA47-4F74-48A0-8033-8683B05A3BC4}">
      <selection activeCell="E13" sqref="E13"/>
      <pageMargins left="0.7" right="0.7" top="0.75" bottom="0.75" header="0.3" footer="0.3"/>
      <pageSetup paperSize="9" orientation="portrait" r:id="rId1"/>
    </customSheetView>
    <customSheetView guid="{293A8923-ED08-4701-85A2-A97D5F3D44EF}" fitToPage="1" printArea="1" hiddenRows="1" hiddenColumns="1" topLeftCell="A8">
      <selection activeCell="AR22" sqref="AR22"/>
      <pageMargins left="0.7" right="0.7" top="0.75" bottom="0.75" header="0.3" footer="0.3"/>
      <pageSetup paperSize="9" scale="89" orientation="portrait" r:id="rId2"/>
    </customSheetView>
  </customSheetViews>
  <phoneticPr fontId="1" type="noConversion"/>
  <pageMargins left="0.7" right="0.7" top="0.75" bottom="0.75" header="0.3" footer="0.3"/>
  <pageSetup paperSize="9" scale="8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workbookViewId="0">
      <selection activeCell="E1" sqref="E1:G1048576"/>
    </sheetView>
  </sheetViews>
  <sheetFormatPr defaultColWidth="9" defaultRowHeight="15.75"/>
  <cols>
    <col min="1" max="1" width="66.125" style="12" customWidth="1"/>
    <col min="2" max="2" width="3.125" style="15" customWidth="1"/>
    <col min="3" max="3" width="13.375" style="20" bestFit="1" customWidth="1"/>
    <col min="4" max="4" width="15.75" style="20" bestFit="1" customWidth="1"/>
    <col min="5" max="7" width="15.75" style="20" hidden="1" customWidth="1"/>
    <col min="8" max="8" width="13.375" style="20" bestFit="1" customWidth="1"/>
    <col min="9" max="12" width="15.875" style="20" hidden="1" customWidth="1"/>
    <col min="13" max="13" width="13.375" style="20" hidden="1" customWidth="1"/>
    <col min="14" max="17" width="15.875" style="20" hidden="1" customWidth="1"/>
    <col min="18" max="18" width="13.375" style="20" hidden="1" customWidth="1"/>
    <col min="19" max="22" width="15.875" style="20" hidden="1" customWidth="1"/>
    <col min="23" max="23" width="13.375" style="20" hidden="1" customWidth="1"/>
    <col min="24" max="27" width="15.875" style="20" hidden="1" customWidth="1"/>
    <col min="28" max="28" width="13.375" style="20" hidden="1" customWidth="1"/>
    <col min="29" max="34" width="15.875" style="20" hidden="1" customWidth="1"/>
    <col min="35" max="37" width="15.875" style="12" hidden="1" customWidth="1"/>
    <col min="38" max="41" width="0" style="12" hidden="1" customWidth="1"/>
    <col min="42" max="16384" width="9" style="12"/>
  </cols>
  <sheetData>
    <row r="1" spans="1:37" ht="75.75" customHeight="1"/>
    <row r="2" spans="1:37" ht="17.25" thickBot="1">
      <c r="A2" s="56" t="s">
        <v>63</v>
      </c>
      <c r="B2" s="16"/>
      <c r="C2" s="72" t="s">
        <v>180</v>
      </c>
      <c r="D2" s="72" t="s">
        <v>181</v>
      </c>
      <c r="E2" s="72" t="s">
        <v>177</v>
      </c>
      <c r="F2" s="72" t="s">
        <v>175</v>
      </c>
      <c r="G2" s="72" t="s">
        <v>170</v>
      </c>
      <c r="H2" s="72" t="s">
        <v>167</v>
      </c>
      <c r="I2" s="72" t="s">
        <v>166</v>
      </c>
      <c r="J2" s="72" t="s">
        <v>161</v>
      </c>
      <c r="K2" s="72" t="s">
        <v>160</v>
      </c>
      <c r="L2" s="72" t="s">
        <v>157</v>
      </c>
      <c r="M2" s="72" t="s">
        <v>145</v>
      </c>
      <c r="N2" s="72" t="s">
        <v>144</v>
      </c>
      <c r="O2" s="72" t="s">
        <v>142</v>
      </c>
      <c r="P2" s="72" t="s">
        <v>139</v>
      </c>
      <c r="Q2" s="72" t="s">
        <v>137</v>
      </c>
      <c r="R2" s="72" t="s">
        <v>124</v>
      </c>
      <c r="S2" s="72" t="s">
        <v>123</v>
      </c>
      <c r="T2" s="72" t="s">
        <v>121</v>
      </c>
      <c r="U2" s="72" t="s">
        <v>115</v>
      </c>
      <c r="V2" s="72" t="s">
        <v>136</v>
      </c>
      <c r="W2" s="72" t="s">
        <v>108</v>
      </c>
      <c r="X2" s="72" t="s">
        <v>109</v>
      </c>
      <c r="Y2" s="72" t="s">
        <v>105</v>
      </c>
      <c r="Z2" s="72" t="s">
        <v>102</v>
      </c>
      <c r="AA2" s="72" t="s">
        <v>99</v>
      </c>
      <c r="AB2" s="72" t="s">
        <v>85</v>
      </c>
      <c r="AC2" s="72" t="s">
        <v>84</v>
      </c>
      <c r="AD2" s="72" t="s">
        <v>78</v>
      </c>
      <c r="AE2" s="72" t="s">
        <v>69</v>
      </c>
      <c r="AF2" s="72" t="s">
        <v>17</v>
      </c>
      <c r="AG2" s="72" t="s">
        <v>83</v>
      </c>
      <c r="AH2" s="74" t="s">
        <v>88</v>
      </c>
      <c r="AI2" s="74" t="s">
        <v>79</v>
      </c>
      <c r="AJ2" s="71" t="s">
        <v>74</v>
      </c>
      <c r="AK2" s="71" t="s">
        <v>18</v>
      </c>
    </row>
    <row r="3" spans="1:37" ht="16.5">
      <c r="A3" s="59" t="s">
        <v>65</v>
      </c>
      <c r="B3" s="16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7">
      <c r="A4" s="58" t="s">
        <v>37</v>
      </c>
      <c r="B4" s="16"/>
      <c r="C4" s="3">
        <f>D4+E4+F4+G4</f>
        <v>-1011558</v>
      </c>
      <c r="D4" s="3">
        <f>-1011558-G4-F4-E4</f>
        <v>-352846</v>
      </c>
      <c r="E4" s="3">
        <f>-658712+185766+217145</f>
        <v>-255801</v>
      </c>
      <c r="F4" s="3">
        <f>-402911+185766</f>
        <v>-217145</v>
      </c>
      <c r="G4" s="3">
        <v>-185766</v>
      </c>
      <c r="H4" s="3">
        <f>I4+J4+K4+L4</f>
        <v>-572629</v>
      </c>
      <c r="I4" s="3">
        <f>-572629-J4-K4-L4</f>
        <v>-187001</v>
      </c>
      <c r="J4" s="3">
        <f>-385628+119862+137671</f>
        <v>-128095</v>
      </c>
      <c r="K4" s="3">
        <f>-257533+137671</f>
        <v>-119862</v>
      </c>
      <c r="L4" s="3">
        <v>-137671</v>
      </c>
      <c r="M4" s="3">
        <f>N4+O4+P4+Q4</f>
        <v>-626565</v>
      </c>
      <c r="N4" s="3">
        <f>-626565-O4-P4-Q4</f>
        <v>-383712</v>
      </c>
      <c r="O4" s="3">
        <f>-242853+108947+30404</f>
        <v>-103502</v>
      </c>
      <c r="P4" s="3">
        <f>-139351+30404</f>
        <v>-108947</v>
      </c>
      <c r="Q4" s="3">
        <f>-30404</f>
        <v>-30404</v>
      </c>
      <c r="R4" s="3">
        <f>S4+T4+U4+V4</f>
        <v>-90344</v>
      </c>
      <c r="S4" s="3">
        <f>-90344-T4-U4-V4</f>
        <v>26331</v>
      </c>
      <c r="T4" s="3">
        <v>34369</v>
      </c>
      <c r="U4" s="3">
        <f>-151044-5560</f>
        <v>-156604</v>
      </c>
      <c r="V4" s="3">
        <v>5560</v>
      </c>
      <c r="W4" s="3">
        <v>312656</v>
      </c>
      <c r="X4" s="3">
        <f>312656-275721</f>
        <v>36935</v>
      </c>
      <c r="Y4" s="3">
        <f>275721-141581</f>
        <v>134140</v>
      </c>
      <c r="Z4" s="3">
        <f>141581-92991</f>
        <v>48590</v>
      </c>
      <c r="AA4" s="3">
        <v>92991</v>
      </c>
      <c r="AB4" s="3">
        <f>1003654</f>
        <v>1003654</v>
      </c>
      <c r="AC4" s="3">
        <f>AB4-SUM(AD4:AF4)</f>
        <v>95701</v>
      </c>
      <c r="AD4" s="3">
        <v>-4382</v>
      </c>
      <c r="AE4" s="3">
        <v>952900</v>
      </c>
      <c r="AF4" s="3">
        <v>-40565</v>
      </c>
      <c r="AG4" s="3">
        <v>977057</v>
      </c>
      <c r="AH4" s="3">
        <f>AG4-SUM(AI4:AK4)</f>
        <v>146416</v>
      </c>
      <c r="AI4" s="3">
        <v>236725</v>
      </c>
      <c r="AJ4" s="3">
        <v>265691</v>
      </c>
      <c r="AK4" s="3">
        <v>328225</v>
      </c>
    </row>
    <row r="5" spans="1:37">
      <c r="A5" s="58" t="s">
        <v>68</v>
      </c>
      <c r="B5" s="1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>
        <v>0</v>
      </c>
      <c r="AF5" s="3"/>
      <c r="AG5" s="3"/>
      <c r="AH5" s="3"/>
      <c r="AI5" s="3"/>
      <c r="AJ5" s="3"/>
      <c r="AK5" s="3"/>
    </row>
    <row r="6" spans="1:37">
      <c r="A6" s="58" t="s">
        <v>38</v>
      </c>
      <c r="B6" s="16"/>
      <c r="C6" s="3">
        <f>D6+E6+F6+G6</f>
        <v>36514</v>
      </c>
      <c r="D6" s="3">
        <f>36514-SUM(E6:G6)</f>
        <v>8029</v>
      </c>
      <c r="E6" s="3">
        <f>28485-9758-10089</f>
        <v>8638</v>
      </c>
      <c r="F6" s="3">
        <f>19847-10089</f>
        <v>9758</v>
      </c>
      <c r="G6" s="3">
        <v>10089</v>
      </c>
      <c r="H6" s="3">
        <f>I6+J6+K6+L6</f>
        <v>46769</v>
      </c>
      <c r="I6" s="3">
        <f>46769-J6-L6-K6</f>
        <v>12170</v>
      </c>
      <c r="J6" s="3">
        <f>34599-11628-11331</f>
        <v>11640</v>
      </c>
      <c r="K6" s="3">
        <f>22959-11331</f>
        <v>11628</v>
      </c>
      <c r="L6" s="3">
        <v>11331</v>
      </c>
      <c r="M6" s="3">
        <f>N6+O6+P6+Q6</f>
        <v>50504</v>
      </c>
      <c r="N6" s="3">
        <f>50504-O6-P6-Q6</f>
        <v>11850</v>
      </c>
      <c r="O6" s="3">
        <f>38654-13022-13317</f>
        <v>12315</v>
      </c>
      <c r="P6" s="3">
        <f>26336-13314</f>
        <v>13022</v>
      </c>
      <c r="Q6" s="3">
        <v>13317</v>
      </c>
      <c r="R6" s="3">
        <f>S6+T6+U6+V6</f>
        <v>50300</v>
      </c>
      <c r="S6" s="3">
        <f>50300-T6-U6-V6</f>
        <v>13178</v>
      </c>
      <c r="T6" s="3">
        <f>37122-12240-11787</f>
        <v>13095</v>
      </c>
      <c r="U6" s="3">
        <f>24027-11787</f>
        <v>12240</v>
      </c>
      <c r="V6" s="3">
        <v>11787</v>
      </c>
      <c r="W6" s="3">
        <v>45369</v>
      </c>
      <c r="X6" s="3">
        <f>45369-34009</f>
        <v>11360</v>
      </c>
      <c r="Y6" s="3">
        <f>34009-22834</f>
        <v>11175</v>
      </c>
      <c r="Z6" s="3">
        <f>22834-11611</f>
        <v>11223</v>
      </c>
      <c r="AA6" s="3">
        <v>11611</v>
      </c>
      <c r="AB6" s="3">
        <v>46665</v>
      </c>
      <c r="AC6" s="3">
        <f t="shared" ref="AC6:AC58" si="0">AB6-SUM(AD6:AF6)</f>
        <v>9741</v>
      </c>
      <c r="AD6" s="3">
        <v>11850</v>
      </c>
      <c r="AE6" s="3">
        <v>12496</v>
      </c>
      <c r="AF6" s="3">
        <v>12578</v>
      </c>
      <c r="AG6" s="3">
        <v>30882</v>
      </c>
      <c r="AH6" s="3">
        <f t="shared" ref="AH6:AH28" si="1">AG6-SUM(AI6:AK6)</f>
        <v>-14262</v>
      </c>
      <c r="AI6" s="3">
        <v>14416</v>
      </c>
      <c r="AJ6" s="3">
        <v>15575</v>
      </c>
      <c r="AK6" s="3">
        <v>15153</v>
      </c>
    </row>
    <row r="7" spans="1:37">
      <c r="A7" s="58" t="s">
        <v>39</v>
      </c>
      <c r="B7" s="16"/>
      <c r="C7" s="3">
        <f>D7+E7+F7+G7</f>
        <v>115632</v>
      </c>
      <c r="D7" s="3">
        <f>115632-SUM(E7:G7)</f>
        <v>28992</v>
      </c>
      <c r="E7" s="3">
        <f>86640-29860-28961</f>
        <v>27819</v>
      </c>
      <c r="F7" s="3">
        <f>58821-28961</f>
        <v>29860</v>
      </c>
      <c r="G7" s="3">
        <v>28961</v>
      </c>
      <c r="H7" s="3">
        <f t="shared" ref="E7:M28" si="2">I7+J7+K7+L7</f>
        <v>127197</v>
      </c>
      <c r="I7" s="3">
        <f>127197-J7-K7-L7</f>
        <v>30232</v>
      </c>
      <c r="J7" s="3">
        <f>96965-32647-30243</f>
        <v>34075</v>
      </c>
      <c r="K7" s="3">
        <f>62890-30243</f>
        <v>32647</v>
      </c>
      <c r="L7" s="3">
        <v>30243</v>
      </c>
      <c r="M7" s="3">
        <f t="shared" si="2"/>
        <v>128129</v>
      </c>
      <c r="N7" s="3">
        <f>128129-O7-P7-Q7</f>
        <v>29754</v>
      </c>
      <c r="O7" s="3">
        <f>98375-31360-36283</f>
        <v>30732</v>
      </c>
      <c r="P7" s="3">
        <f>67643-36283</f>
        <v>31360</v>
      </c>
      <c r="Q7" s="3">
        <v>36283</v>
      </c>
      <c r="R7" s="3">
        <f t="shared" ref="R7:R28" si="3">S7+T7+U7+V7</f>
        <v>129556</v>
      </c>
      <c r="S7" s="3">
        <f>129556-T7-U7-V7</f>
        <v>31463</v>
      </c>
      <c r="T7" s="3">
        <f>98093-31940-33378</f>
        <v>32775</v>
      </c>
      <c r="U7" s="3">
        <f>65318-33378</f>
        <v>31940</v>
      </c>
      <c r="V7" s="3">
        <v>33378</v>
      </c>
      <c r="W7" s="3">
        <v>118657</v>
      </c>
      <c r="X7" s="3">
        <f>118657-87079</f>
        <v>31578</v>
      </c>
      <c r="Y7" s="3">
        <f>87079-60130</f>
        <v>26949</v>
      </c>
      <c r="Z7" s="3">
        <f>60130-31676</f>
        <v>28454</v>
      </c>
      <c r="AA7" s="3">
        <v>31676</v>
      </c>
      <c r="AB7" s="3">
        <v>120290</v>
      </c>
      <c r="AC7" s="3">
        <f t="shared" si="0"/>
        <v>31950</v>
      </c>
      <c r="AD7" s="3">
        <v>28456</v>
      </c>
      <c r="AE7" s="3">
        <v>30338</v>
      </c>
      <c r="AF7" s="3">
        <v>29546</v>
      </c>
      <c r="AG7" s="3">
        <v>94235</v>
      </c>
      <c r="AH7" s="3">
        <f t="shared" si="1"/>
        <v>35491</v>
      </c>
      <c r="AI7" s="3">
        <v>20359</v>
      </c>
      <c r="AJ7" s="3">
        <v>18913</v>
      </c>
      <c r="AK7" s="3">
        <v>19472</v>
      </c>
    </row>
    <row r="8" spans="1:37">
      <c r="A8" s="109" t="s">
        <v>172</v>
      </c>
      <c r="B8" s="16"/>
      <c r="C8" s="3">
        <f>D8+E8+F8+G8</f>
        <v>27228</v>
      </c>
      <c r="D8" s="3">
        <f>27228-SUM(E8:G8)</f>
        <v>23589</v>
      </c>
      <c r="E8" s="3">
        <f>3639-12-14</f>
        <v>3613</v>
      </c>
      <c r="F8" s="3">
        <f>26-14</f>
        <v>12</v>
      </c>
      <c r="G8" s="3">
        <v>14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>
      <c r="A9" s="58" t="s">
        <v>100</v>
      </c>
      <c r="B9" s="16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f t="shared" si="2"/>
        <v>0</v>
      </c>
      <c r="I9" s="3">
        <v>0</v>
      </c>
      <c r="J9" s="3">
        <v>0</v>
      </c>
      <c r="K9" s="3">
        <f>0-430</f>
        <v>-430</v>
      </c>
      <c r="L9" s="3">
        <v>430</v>
      </c>
      <c r="M9" s="3">
        <f t="shared" si="2"/>
        <v>0</v>
      </c>
      <c r="N9" s="3">
        <v>-11196</v>
      </c>
      <c r="O9" s="3">
        <f>11196-11203</f>
        <v>-7</v>
      </c>
      <c r="P9" s="3">
        <f>11203</f>
        <v>11203</v>
      </c>
      <c r="Q9" s="3">
        <v>0</v>
      </c>
      <c r="R9" s="3">
        <f t="shared" si="3"/>
        <v>0</v>
      </c>
      <c r="S9" s="3">
        <v>0</v>
      </c>
      <c r="T9" s="3">
        <v>0</v>
      </c>
      <c r="U9" s="3">
        <v>0</v>
      </c>
      <c r="V9" s="3">
        <v>0</v>
      </c>
      <c r="W9" s="3">
        <v>97</v>
      </c>
      <c r="X9" s="3">
        <f>97-521</f>
        <v>-424</v>
      </c>
      <c r="Y9" s="3">
        <f>521-643</f>
        <v>-122</v>
      </c>
      <c r="Z9" s="3">
        <f>643-645</f>
        <v>-2</v>
      </c>
      <c r="AA9" s="3">
        <v>645</v>
      </c>
      <c r="AB9" s="3"/>
      <c r="AC9" s="3"/>
      <c r="AD9" s="3"/>
      <c r="AE9" s="3">
        <v>0</v>
      </c>
      <c r="AF9" s="3"/>
      <c r="AG9" s="3"/>
      <c r="AH9" s="3"/>
      <c r="AI9" s="3"/>
      <c r="AJ9" s="3"/>
      <c r="AK9" s="3"/>
    </row>
    <row r="10" spans="1:37">
      <c r="A10" s="58" t="s">
        <v>64</v>
      </c>
      <c r="B10" s="16"/>
      <c r="C10" s="3">
        <f t="shared" ref="C10:C16" si="4">D10+E10+F10+G10</f>
        <v>4626</v>
      </c>
      <c r="D10" s="3">
        <f>4626-SUM(E10:G10)</f>
        <v>-35775</v>
      </c>
      <c r="E10" s="3">
        <f>-1587+41988-102665+526</f>
        <v>-61738</v>
      </c>
      <c r="F10" s="3">
        <f>-658+102797+526</f>
        <v>102665</v>
      </c>
      <c r="G10" s="3">
        <v>-526</v>
      </c>
      <c r="H10" s="3">
        <f t="shared" si="2"/>
        <v>-3789</v>
      </c>
      <c r="I10" s="3">
        <f>-3789-J10-K10-L10</f>
        <v>-1176</v>
      </c>
      <c r="J10" s="3">
        <f>-2613+1562</f>
        <v>-1051</v>
      </c>
      <c r="K10" s="3">
        <f>-1562+818</f>
        <v>-744</v>
      </c>
      <c r="L10" s="3">
        <v>-818</v>
      </c>
      <c r="M10" s="3">
        <f t="shared" si="2"/>
        <v>-620</v>
      </c>
      <c r="N10" s="3">
        <f>-620-O10-P10-Q10</f>
        <v>268</v>
      </c>
      <c r="O10" s="3">
        <f>-888-(-1113)-1107</f>
        <v>-882</v>
      </c>
      <c r="P10" s="3">
        <f>-6-1107</f>
        <v>-1113</v>
      </c>
      <c r="Q10" s="3">
        <v>1107</v>
      </c>
      <c r="R10" s="3">
        <f t="shared" si="3"/>
        <v>690</v>
      </c>
      <c r="S10" s="3">
        <f>690-T10-U10-V10</f>
        <v>42166</v>
      </c>
      <c r="T10" s="3">
        <f>-3451-38025+53378-(134+54043)</f>
        <v>-42275</v>
      </c>
      <c r="U10" s="3">
        <f>799-(134+54043)</f>
        <v>-53378</v>
      </c>
      <c r="V10" s="3">
        <f>134+54043</f>
        <v>54177</v>
      </c>
      <c r="W10" s="3">
        <v>-2515</v>
      </c>
      <c r="X10" s="3">
        <f>-2515+2179</f>
        <v>-336</v>
      </c>
      <c r="Y10" s="3">
        <f>(-2179)-(-2647)</f>
        <v>468</v>
      </c>
      <c r="Z10" s="3">
        <f>(-2647)-(-6272+4010)</f>
        <v>-385</v>
      </c>
      <c r="AA10" s="3">
        <f>-6272+4010</f>
        <v>-2262</v>
      </c>
      <c r="AB10" s="3">
        <v>6465</v>
      </c>
      <c r="AC10" s="3">
        <f t="shared" si="0"/>
        <v>7527</v>
      </c>
      <c r="AD10" s="3">
        <v>-1182</v>
      </c>
      <c r="AE10" s="3">
        <v>14</v>
      </c>
      <c r="AF10" s="3">
        <v>106</v>
      </c>
      <c r="AG10" s="3">
        <v>5592</v>
      </c>
      <c r="AH10" s="3">
        <f t="shared" si="1"/>
        <v>9208</v>
      </c>
      <c r="AI10" s="3">
        <v>-3477</v>
      </c>
      <c r="AJ10" s="3">
        <v>19</v>
      </c>
      <c r="AK10" s="3">
        <v>-158</v>
      </c>
    </row>
    <row r="11" spans="1:37">
      <c r="A11" s="58" t="s">
        <v>40</v>
      </c>
      <c r="B11" s="16"/>
      <c r="C11" s="3">
        <f t="shared" si="4"/>
        <v>238</v>
      </c>
      <c r="D11" s="3">
        <f>238-SUM(E11:G11)</f>
        <v>3</v>
      </c>
      <c r="E11" s="3">
        <f>235-68-10</f>
        <v>157</v>
      </c>
      <c r="F11" s="3">
        <f>78-10</f>
        <v>68</v>
      </c>
      <c r="G11" s="3">
        <v>10</v>
      </c>
      <c r="H11" s="3">
        <f t="shared" si="2"/>
        <v>12</v>
      </c>
      <c r="I11" s="3">
        <f>12-J11-K11-L11</f>
        <v>3</v>
      </c>
      <c r="J11" s="3">
        <f>9-6</f>
        <v>3</v>
      </c>
      <c r="K11" s="3">
        <f>6-3</f>
        <v>3</v>
      </c>
      <c r="L11" s="3">
        <v>3</v>
      </c>
      <c r="M11" s="3">
        <f t="shared" si="2"/>
        <v>12</v>
      </c>
      <c r="N11" s="3">
        <f>12-O11-P11-Q11</f>
        <v>2</v>
      </c>
      <c r="O11" s="3">
        <f>10-4-3</f>
        <v>3</v>
      </c>
      <c r="P11" s="3">
        <f>7-3</f>
        <v>4</v>
      </c>
      <c r="Q11" s="3">
        <v>3</v>
      </c>
      <c r="R11" s="3">
        <f t="shared" si="3"/>
        <v>95</v>
      </c>
      <c r="S11" s="3">
        <f>95-T11-U11-V11</f>
        <v>4</v>
      </c>
      <c r="T11" s="3">
        <f>91-66-21</f>
        <v>4</v>
      </c>
      <c r="U11" s="3">
        <f>87-21</f>
        <v>66</v>
      </c>
      <c r="V11" s="3">
        <v>21</v>
      </c>
      <c r="W11" s="3">
        <v>42</v>
      </c>
      <c r="X11" s="3">
        <f>42-26</f>
        <v>16</v>
      </c>
      <c r="Y11" s="3">
        <f>26-24</f>
        <v>2</v>
      </c>
      <c r="Z11" s="3">
        <f>24-16</f>
        <v>8</v>
      </c>
      <c r="AA11" s="3">
        <v>16</v>
      </c>
      <c r="AB11" s="3">
        <v>80</v>
      </c>
      <c r="AC11" s="3">
        <f t="shared" si="0"/>
        <v>16</v>
      </c>
      <c r="AD11" s="3">
        <v>16</v>
      </c>
      <c r="AE11" s="3">
        <v>16</v>
      </c>
      <c r="AF11" s="3">
        <v>32</v>
      </c>
      <c r="AG11" s="3">
        <v>244</v>
      </c>
      <c r="AH11" s="3">
        <f t="shared" si="1"/>
        <v>29</v>
      </c>
      <c r="AI11" s="3">
        <v>35</v>
      </c>
      <c r="AJ11" s="3">
        <v>118</v>
      </c>
      <c r="AK11" s="3">
        <v>62</v>
      </c>
    </row>
    <row r="12" spans="1:37">
      <c r="A12" s="58" t="s">
        <v>41</v>
      </c>
      <c r="B12" s="16"/>
      <c r="C12" s="3">
        <f t="shared" si="4"/>
        <v>-27309</v>
      </c>
      <c r="D12" s="3">
        <f>-27309-SUM(E12:G12)</f>
        <v>-6917</v>
      </c>
      <c r="E12" s="3">
        <f>-20392+6343+7744</f>
        <v>-6305</v>
      </c>
      <c r="F12" s="3">
        <f>-14087+7744</f>
        <v>-6343</v>
      </c>
      <c r="G12" s="3">
        <v>-7744</v>
      </c>
      <c r="H12" s="3">
        <f t="shared" si="2"/>
        <v>-33919</v>
      </c>
      <c r="I12" s="3">
        <f>-33919-J12-K12-L12</f>
        <v>-7692</v>
      </c>
      <c r="J12" s="3">
        <f>-26227+17609</f>
        <v>-8618</v>
      </c>
      <c r="K12" s="3">
        <f>-17609+8718</f>
        <v>-8891</v>
      </c>
      <c r="L12" s="3">
        <v>-8718</v>
      </c>
      <c r="M12" s="3">
        <f t="shared" si="2"/>
        <v>-42938</v>
      </c>
      <c r="N12" s="3">
        <f>-42938-O12-P12-Q12</f>
        <v>-8388</v>
      </c>
      <c r="O12" s="3">
        <f>-34550-(-11102)-(-12154)</f>
        <v>-11294</v>
      </c>
      <c r="P12" s="3">
        <f>-23256+12154</f>
        <v>-11102</v>
      </c>
      <c r="Q12" s="3">
        <v>-12154</v>
      </c>
      <c r="R12" s="3">
        <f t="shared" si="3"/>
        <v>-53959</v>
      </c>
      <c r="S12" s="3">
        <f>-53959-T12-U12-V12</f>
        <v>-11866</v>
      </c>
      <c r="T12" s="3">
        <f>-42093+14430-(-15196)</f>
        <v>-12467</v>
      </c>
      <c r="U12" s="3">
        <f>-29626-(-15196)</f>
        <v>-14430</v>
      </c>
      <c r="V12" s="3">
        <v>-15196</v>
      </c>
      <c r="W12" s="3">
        <v>-61703</v>
      </c>
      <c r="X12" s="3">
        <f>-61703+46579</f>
        <v>-15124</v>
      </c>
      <c r="Y12" s="3">
        <f>(-46579)-(-32056)</f>
        <v>-14523</v>
      </c>
      <c r="Z12" s="3">
        <f>-32056-(-15385)</f>
        <v>-16671</v>
      </c>
      <c r="AA12" s="3">
        <v>-15385</v>
      </c>
      <c r="AB12" s="3">
        <v>-54189</v>
      </c>
      <c r="AC12" s="3">
        <f t="shared" si="0"/>
        <v>-17490</v>
      </c>
      <c r="AD12" s="3">
        <v>-13187</v>
      </c>
      <c r="AE12" s="3">
        <v>-13636</v>
      </c>
      <c r="AF12" s="3">
        <v>-9876</v>
      </c>
      <c r="AG12" s="3">
        <v>-43521</v>
      </c>
      <c r="AH12" s="3">
        <f t="shared" si="1"/>
        <v>-10885</v>
      </c>
      <c r="AI12" s="3">
        <v>-11030</v>
      </c>
      <c r="AJ12" s="3">
        <v>-11195</v>
      </c>
      <c r="AK12" s="3">
        <v>-10411</v>
      </c>
    </row>
    <row r="13" spans="1:37">
      <c r="A13" s="58" t="s">
        <v>86</v>
      </c>
      <c r="B13" s="16"/>
      <c r="C13" s="3">
        <f t="shared" si="4"/>
        <v>-1052</v>
      </c>
      <c r="D13" s="3">
        <f>-1052-SUM(E13:G13)</f>
        <v>-150</v>
      </c>
      <c r="E13" s="3">
        <f>-902+332+333</f>
        <v>-237</v>
      </c>
      <c r="F13" s="3">
        <f>-665+333</f>
        <v>-332</v>
      </c>
      <c r="G13" s="3">
        <v>-333</v>
      </c>
      <c r="H13" s="3">
        <f t="shared" si="2"/>
        <v>-1809</v>
      </c>
      <c r="I13" s="3">
        <f>-1809-J13-K13-L13</f>
        <v>-489</v>
      </c>
      <c r="J13" s="3">
        <f>-1320+627</f>
        <v>-693</v>
      </c>
      <c r="K13" s="3">
        <f>-627+150</f>
        <v>-477</v>
      </c>
      <c r="L13" s="3">
        <v>-150</v>
      </c>
      <c r="M13" s="3">
        <f t="shared" si="2"/>
        <v>-25</v>
      </c>
      <c r="N13" s="3">
        <v>0</v>
      </c>
      <c r="O13" s="3">
        <v>-25</v>
      </c>
      <c r="P13" s="3">
        <v>0</v>
      </c>
      <c r="Q13" s="3">
        <v>0</v>
      </c>
      <c r="R13" s="3">
        <f t="shared" si="3"/>
        <v>-42</v>
      </c>
      <c r="S13" s="3">
        <f>-42-T13-U13-V13</f>
        <v>0</v>
      </c>
      <c r="T13" s="3">
        <v>-42</v>
      </c>
      <c r="U13" s="3">
        <v>0</v>
      </c>
      <c r="V13" s="3">
        <v>0</v>
      </c>
      <c r="W13" s="3">
        <v>-50</v>
      </c>
      <c r="X13" s="3">
        <f>-50+50</f>
        <v>0</v>
      </c>
      <c r="Y13" s="3">
        <v>-50</v>
      </c>
      <c r="Z13" s="3">
        <v>0</v>
      </c>
      <c r="AA13" s="3">
        <v>0</v>
      </c>
      <c r="AB13" s="3">
        <v>-91</v>
      </c>
      <c r="AC13" s="3">
        <f t="shared" si="0"/>
        <v>0</v>
      </c>
      <c r="AD13" s="3">
        <v>-91</v>
      </c>
      <c r="AE13" s="3">
        <v>0</v>
      </c>
      <c r="AF13" s="3">
        <v>0</v>
      </c>
      <c r="AG13" s="3">
        <v>-124</v>
      </c>
      <c r="AH13" s="3">
        <f t="shared" si="1"/>
        <v>-124</v>
      </c>
      <c r="AI13" s="3">
        <v>0</v>
      </c>
      <c r="AJ13" s="3">
        <v>0</v>
      </c>
      <c r="AK13" s="3">
        <v>0</v>
      </c>
    </row>
    <row r="14" spans="1:37">
      <c r="A14" s="58" t="s">
        <v>42</v>
      </c>
      <c r="B14" s="16"/>
      <c r="C14" s="3">
        <f t="shared" si="4"/>
        <v>3144</v>
      </c>
      <c r="D14" s="3">
        <f>3144-SUM(E14:G14)</f>
        <v>631</v>
      </c>
      <c r="E14" s="3">
        <f>2513-644-910</f>
        <v>959</v>
      </c>
      <c r="F14" s="3">
        <f>1554-910</f>
        <v>644</v>
      </c>
      <c r="G14" s="3">
        <v>910</v>
      </c>
      <c r="H14" s="3">
        <f>I14+J14+K14+L14</f>
        <v>16710</v>
      </c>
      <c r="I14" s="3">
        <f>16710-J14-K14-L14</f>
        <v>863</v>
      </c>
      <c r="J14" s="91">
        <f>15883-12876-36</f>
        <v>2971</v>
      </c>
      <c r="K14" s="3">
        <f>12876-4340</f>
        <v>8536</v>
      </c>
      <c r="L14" s="3">
        <v>4340</v>
      </c>
      <c r="M14" s="3">
        <f t="shared" si="2"/>
        <v>36700</v>
      </c>
      <c r="N14" s="3">
        <f>36700-O14-P14-Q14</f>
        <v>6114</v>
      </c>
      <c r="O14" s="3">
        <f>30586-14061-8883</f>
        <v>7642</v>
      </c>
      <c r="P14" s="3">
        <f>22944-8883</f>
        <v>14061</v>
      </c>
      <c r="Q14" s="3">
        <v>8883</v>
      </c>
      <c r="R14" s="3">
        <f t="shared" si="3"/>
        <v>89904</v>
      </c>
      <c r="S14" s="3">
        <f>89904-T14-U14-V14</f>
        <v>16764</v>
      </c>
      <c r="T14" s="3">
        <f>73140-27744-26867</f>
        <v>18529</v>
      </c>
      <c r="U14" s="3">
        <f>54611-26867</f>
        <v>27744</v>
      </c>
      <c r="V14" s="3">
        <v>26867</v>
      </c>
      <c r="W14" s="3">
        <v>93694</v>
      </c>
      <c r="X14" s="3">
        <f>93694-68228</f>
        <v>25466</v>
      </c>
      <c r="Y14" s="3">
        <f>68228-33737</f>
        <v>34491</v>
      </c>
      <c r="Z14" s="3">
        <f>33737-16868</f>
        <v>16869</v>
      </c>
      <c r="AA14" s="3">
        <v>16868</v>
      </c>
      <c r="AB14" s="3">
        <v>55411</v>
      </c>
      <c r="AC14" s="3">
        <f t="shared" si="0"/>
        <v>16900</v>
      </c>
      <c r="AD14" s="3">
        <v>14445</v>
      </c>
      <c r="AE14" s="3">
        <v>12033</v>
      </c>
      <c r="AF14" s="3">
        <v>12033</v>
      </c>
      <c r="AG14" s="3">
        <v>20824</v>
      </c>
      <c r="AH14" s="3">
        <f t="shared" si="1"/>
        <v>11904</v>
      </c>
      <c r="AI14" s="3">
        <v>6192</v>
      </c>
      <c r="AJ14" s="3">
        <v>0</v>
      </c>
      <c r="AK14" s="3">
        <v>2728</v>
      </c>
    </row>
    <row r="15" spans="1:37">
      <c r="A15" s="58" t="s">
        <v>43</v>
      </c>
      <c r="B15" s="16"/>
      <c r="C15" s="3">
        <f t="shared" si="4"/>
        <v>48</v>
      </c>
      <c r="D15" s="3">
        <f>48-SUM(E15:G15)</f>
        <v>-37</v>
      </c>
      <c r="E15" s="3">
        <f>85-3-122</f>
        <v>-40</v>
      </c>
      <c r="F15" s="3">
        <f>125-122</f>
        <v>3</v>
      </c>
      <c r="G15" s="3">
        <v>122</v>
      </c>
      <c r="H15" s="3">
        <f t="shared" si="2"/>
        <v>60</v>
      </c>
      <c r="I15" s="3">
        <v>60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v>0</v>
      </c>
      <c r="O15" s="3">
        <v>0</v>
      </c>
      <c r="P15" s="3">
        <v>0</v>
      </c>
      <c r="Q15" s="3">
        <v>0</v>
      </c>
      <c r="R15" s="3">
        <f t="shared" si="3"/>
        <v>0</v>
      </c>
      <c r="S15" s="3">
        <f>0-T15-U15-V15</f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-282</v>
      </c>
      <c r="AC15" s="3">
        <f t="shared" si="0"/>
        <v>300</v>
      </c>
      <c r="AD15" s="3">
        <v>-551</v>
      </c>
      <c r="AE15" s="3">
        <v>1540</v>
      </c>
      <c r="AF15" s="3">
        <v>-1571</v>
      </c>
      <c r="AG15" s="3">
        <v>2083</v>
      </c>
      <c r="AH15" s="3">
        <f t="shared" si="1"/>
        <v>1374</v>
      </c>
      <c r="AI15" s="3">
        <v>700</v>
      </c>
      <c r="AJ15" s="3">
        <v>2454</v>
      </c>
      <c r="AK15" s="3">
        <v>-2445</v>
      </c>
    </row>
    <row r="16" spans="1:37">
      <c r="A16" s="83" t="s">
        <v>90</v>
      </c>
      <c r="B16" s="16"/>
      <c r="C16" s="3">
        <f t="shared" si="4"/>
        <v>-11</v>
      </c>
      <c r="D16" s="3">
        <f>-11-SUM(E16:G16)</f>
        <v>-8</v>
      </c>
      <c r="E16" s="3">
        <f>-3</f>
        <v>-3</v>
      </c>
      <c r="F16" s="3">
        <v>0</v>
      </c>
      <c r="G16" s="3">
        <v>0</v>
      </c>
      <c r="H16" s="3">
        <f t="shared" si="2"/>
        <v>74</v>
      </c>
      <c r="I16" s="3">
        <f>74-J16-K16-L16</f>
        <v>2</v>
      </c>
      <c r="J16" s="3">
        <f>72-32</f>
        <v>40</v>
      </c>
      <c r="K16" s="3">
        <f>32+1</f>
        <v>33</v>
      </c>
      <c r="L16" s="3">
        <v>-1</v>
      </c>
      <c r="M16" s="3">
        <f t="shared" si="2"/>
        <v>534</v>
      </c>
      <c r="N16" s="3">
        <f>534-O16-P16-Q16</f>
        <v>10</v>
      </c>
      <c r="O16" s="3">
        <f>524-152-379</f>
        <v>-7</v>
      </c>
      <c r="P16" s="3">
        <f>531-379</f>
        <v>152</v>
      </c>
      <c r="Q16" s="3">
        <v>379</v>
      </c>
      <c r="R16" s="3">
        <f t="shared" si="3"/>
        <v>340</v>
      </c>
      <c r="S16" s="3">
        <f>340-T16-U16-V16</f>
        <v>117</v>
      </c>
      <c r="T16" s="3">
        <f>223-191-29</f>
        <v>3</v>
      </c>
      <c r="U16" s="3">
        <f>220-29</f>
        <v>191</v>
      </c>
      <c r="V16" s="3">
        <v>29</v>
      </c>
      <c r="W16" s="3">
        <v>1512</v>
      </c>
      <c r="X16" s="3">
        <f>1512-637</f>
        <v>875</v>
      </c>
      <c r="Y16" s="3">
        <f>637-520</f>
        <v>117</v>
      </c>
      <c r="Z16" s="3">
        <f>520-45</f>
        <v>475</v>
      </c>
      <c r="AA16" s="3">
        <v>45</v>
      </c>
      <c r="AB16" s="3">
        <f>1875-897111</f>
        <v>-895236</v>
      </c>
      <c r="AC16" s="3">
        <f t="shared" si="0"/>
        <v>1663</v>
      </c>
      <c r="AD16" s="3">
        <v>44</v>
      </c>
      <c r="AE16" s="3">
        <v>-896945</v>
      </c>
      <c r="AF16" s="3">
        <v>2</v>
      </c>
      <c r="AG16" s="3">
        <v>39109</v>
      </c>
      <c r="AH16" s="3">
        <f t="shared" si="1"/>
        <v>38242</v>
      </c>
      <c r="AI16" s="3">
        <v>30</v>
      </c>
      <c r="AJ16" s="3">
        <v>755</v>
      </c>
      <c r="AK16" s="3">
        <v>82</v>
      </c>
    </row>
    <row r="17" spans="1:37">
      <c r="A17" s="58" t="s">
        <v>44</v>
      </c>
      <c r="B17" s="16"/>
      <c r="C17" s="3">
        <f t="shared" ref="C17:C28" si="5">D17+E17+F17+G17</f>
        <v>0</v>
      </c>
      <c r="D17" s="3"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3">
        <f t="shared" si="2"/>
        <v>0</v>
      </c>
      <c r="M17" s="3">
        <f t="shared" si="2"/>
        <v>0</v>
      </c>
      <c r="N17" s="3">
        <v>0</v>
      </c>
      <c r="O17" s="3">
        <v>0</v>
      </c>
      <c r="P17" s="3">
        <v>0</v>
      </c>
      <c r="Q17" s="3">
        <v>0</v>
      </c>
      <c r="R17" s="3">
        <f t="shared" si="3"/>
        <v>0</v>
      </c>
      <c r="S17" s="3">
        <f>0-T17-U17-V17</f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3</v>
      </c>
      <c r="AD17" s="3">
        <v>0</v>
      </c>
      <c r="AE17" s="3">
        <v>0</v>
      </c>
      <c r="AF17" s="3">
        <v>-3</v>
      </c>
      <c r="AG17" s="3">
        <v>0</v>
      </c>
      <c r="AH17" s="3">
        <f t="shared" si="1"/>
        <v>0</v>
      </c>
      <c r="AI17" s="3">
        <v>0</v>
      </c>
      <c r="AJ17" s="3">
        <v>0</v>
      </c>
      <c r="AK17" s="3">
        <v>0</v>
      </c>
    </row>
    <row r="18" spans="1:37">
      <c r="A18" s="58" t="s">
        <v>45</v>
      </c>
      <c r="B18" s="16"/>
      <c r="C18" s="3">
        <f t="shared" si="5"/>
        <v>0</v>
      </c>
      <c r="D18" s="3"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v>0</v>
      </c>
      <c r="J18" s="3">
        <v>0</v>
      </c>
      <c r="K18" s="3">
        <v>0</v>
      </c>
      <c r="L18" s="3">
        <v>0</v>
      </c>
      <c r="M18" s="3">
        <f t="shared" si="2"/>
        <v>-54</v>
      </c>
      <c r="N18" s="3">
        <f>-54-O18-P18-Q18</f>
        <v>1</v>
      </c>
      <c r="O18" s="3">
        <f>-55-0-(-56)</f>
        <v>1</v>
      </c>
      <c r="P18" s="3">
        <v>0</v>
      </c>
      <c r="Q18" s="3">
        <v>-56</v>
      </c>
      <c r="R18" s="3">
        <f t="shared" si="3"/>
        <v>-23416</v>
      </c>
      <c r="S18" s="3">
        <f>-23416-T18-U18-V18</f>
        <v>-45</v>
      </c>
      <c r="T18" s="3">
        <f>-23371-23+2991</f>
        <v>-20403</v>
      </c>
      <c r="U18" s="3">
        <f>-2968-(-2991)</f>
        <v>23</v>
      </c>
      <c r="V18" s="3">
        <v>-2991</v>
      </c>
      <c r="W18" s="3">
        <v>-1702</v>
      </c>
      <c r="X18" s="3">
        <f>-1702+1690</f>
        <v>-12</v>
      </c>
      <c r="Y18" s="3">
        <v>-1690</v>
      </c>
      <c r="Z18" s="3">
        <v>0</v>
      </c>
      <c r="AA18" s="3">
        <v>0</v>
      </c>
      <c r="AB18" s="3">
        <v>1140</v>
      </c>
      <c r="AC18" s="3">
        <f t="shared" si="0"/>
        <v>1140</v>
      </c>
      <c r="AD18" s="3">
        <v>0</v>
      </c>
      <c r="AE18" s="3">
        <v>0</v>
      </c>
      <c r="AF18" s="3">
        <v>0</v>
      </c>
      <c r="AG18" s="3">
        <v>-10</v>
      </c>
      <c r="AH18" s="3">
        <f t="shared" si="1"/>
        <v>0</v>
      </c>
      <c r="AI18" s="3">
        <v>0</v>
      </c>
      <c r="AJ18" s="3">
        <v>0</v>
      </c>
      <c r="AK18" s="3">
        <v>-10</v>
      </c>
    </row>
    <row r="19" spans="1:37">
      <c r="A19" s="58" t="s">
        <v>116</v>
      </c>
      <c r="B19" s="16"/>
      <c r="C19" s="3">
        <f t="shared" si="5"/>
        <v>0</v>
      </c>
      <c r="D19" s="3">
        <v>0</v>
      </c>
      <c r="E19" s="3">
        <f t="shared" si="2"/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v>0</v>
      </c>
      <c r="J19" s="3">
        <v>0</v>
      </c>
      <c r="K19" s="3">
        <v>0</v>
      </c>
      <c r="L19" s="3">
        <v>0</v>
      </c>
      <c r="M19" s="3">
        <f t="shared" si="2"/>
        <v>810</v>
      </c>
      <c r="N19" s="3">
        <v>0</v>
      </c>
      <c r="O19" s="3">
        <f>810-193-510</f>
        <v>107</v>
      </c>
      <c r="P19" s="3">
        <f>703-510</f>
        <v>193</v>
      </c>
      <c r="Q19" s="3">
        <v>510</v>
      </c>
      <c r="R19" s="3">
        <f t="shared" si="3"/>
        <v>4479</v>
      </c>
      <c r="S19" s="3">
        <f>4479-T19-U19-V19</f>
        <v>0</v>
      </c>
      <c r="T19" s="3">
        <v>4479</v>
      </c>
      <c r="U19" s="3">
        <v>0</v>
      </c>
      <c r="V19" s="3">
        <v>0</v>
      </c>
      <c r="W19" s="3">
        <v>25965</v>
      </c>
      <c r="X19" s="3">
        <f>25965-25965</f>
        <v>0</v>
      </c>
      <c r="Y19" s="3">
        <v>25965</v>
      </c>
      <c r="Z19" s="3">
        <v>0</v>
      </c>
      <c r="AA19" s="3">
        <v>0</v>
      </c>
      <c r="AB19" s="3"/>
      <c r="AC19" s="3"/>
      <c r="AD19" s="3"/>
      <c r="AE19" s="3">
        <v>0</v>
      </c>
      <c r="AF19" s="3"/>
      <c r="AG19" s="3"/>
      <c r="AH19" s="3"/>
      <c r="AI19" s="3"/>
      <c r="AJ19" s="3"/>
      <c r="AK19" s="3"/>
    </row>
    <row r="20" spans="1:37">
      <c r="A20" s="58" t="s">
        <v>117</v>
      </c>
      <c r="B20" s="16"/>
      <c r="C20" s="3">
        <f t="shared" si="5"/>
        <v>0</v>
      </c>
      <c r="D20" s="3">
        <v>0</v>
      </c>
      <c r="E20" s="3">
        <f t="shared" si="2"/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v>0</v>
      </c>
      <c r="J20" s="3">
        <v>0</v>
      </c>
      <c r="K20" s="3">
        <v>0</v>
      </c>
      <c r="L20" s="3">
        <v>0</v>
      </c>
      <c r="M20" s="3">
        <f t="shared" si="2"/>
        <v>319236</v>
      </c>
      <c r="N20" s="3">
        <v>319236</v>
      </c>
      <c r="O20" s="3">
        <v>0</v>
      </c>
      <c r="P20" s="3">
        <v>0</v>
      </c>
      <c r="Q20" s="3">
        <v>0</v>
      </c>
      <c r="R20" s="3">
        <f t="shared" si="3"/>
        <v>0</v>
      </c>
      <c r="S20" s="3">
        <f>0-T20-U20-V20</f>
        <v>0</v>
      </c>
      <c r="T20" s="3">
        <v>0</v>
      </c>
      <c r="U20" s="3">
        <v>0</v>
      </c>
      <c r="V20" s="3">
        <v>0</v>
      </c>
      <c r="W20" s="3">
        <v>5269</v>
      </c>
      <c r="X20" s="3">
        <v>5269</v>
      </c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>
      <c r="A21" s="58" t="s">
        <v>46</v>
      </c>
      <c r="B21" s="16"/>
      <c r="C21" s="3">
        <f t="shared" si="5"/>
        <v>-1985</v>
      </c>
      <c r="D21" s="3">
        <f>-1985-SUM(E21:G21)</f>
        <v>-4526</v>
      </c>
      <c r="E21" s="3">
        <f>2541-1308+5331</f>
        <v>6564</v>
      </c>
      <c r="F21" s="3">
        <f>-4023+5331</f>
        <v>1308</v>
      </c>
      <c r="G21" s="3">
        <v>-5331</v>
      </c>
      <c r="H21" s="3">
        <f t="shared" si="2"/>
        <v>-3498</v>
      </c>
      <c r="I21" s="3">
        <f>-3498-J21-K21-L21</f>
        <v>4629</v>
      </c>
      <c r="J21" s="3">
        <f>-8127+7636</f>
        <v>-491</v>
      </c>
      <c r="K21" s="3">
        <f>-7636+4944</f>
        <v>-2692</v>
      </c>
      <c r="L21" s="3">
        <v>-4944</v>
      </c>
      <c r="M21" s="3">
        <f t="shared" si="2"/>
        <v>3839</v>
      </c>
      <c r="N21" s="3">
        <f>3839-O21-P21-Q21</f>
        <v>3516</v>
      </c>
      <c r="O21" s="3">
        <f>323-3468-(-3753)</f>
        <v>608</v>
      </c>
      <c r="P21" s="3">
        <f>-285+3753</f>
        <v>3468</v>
      </c>
      <c r="Q21" s="3">
        <v>-3753</v>
      </c>
      <c r="R21" s="3">
        <f t="shared" si="3"/>
        <v>2809</v>
      </c>
      <c r="S21" s="3">
        <f>2809-T21-U21-V21</f>
        <v>5143</v>
      </c>
      <c r="T21" s="3">
        <f>-2334+426-1472</f>
        <v>-3380</v>
      </c>
      <c r="U21" s="3">
        <f>1046-1472</f>
        <v>-426</v>
      </c>
      <c r="V21" s="3">
        <v>1472</v>
      </c>
      <c r="W21" s="3">
        <v>-2426</v>
      </c>
      <c r="X21" s="3">
        <f>-2426-1013</f>
        <v>-3439</v>
      </c>
      <c r="Y21" s="3">
        <f>1013-3176</f>
        <v>-2163</v>
      </c>
      <c r="Z21" s="3">
        <f>3176-190</f>
        <v>2986</v>
      </c>
      <c r="AA21" s="3">
        <v>190</v>
      </c>
      <c r="AB21" s="3">
        <v>-1492</v>
      </c>
      <c r="AC21" s="3">
        <f t="shared" si="0"/>
        <v>-860</v>
      </c>
      <c r="AD21" s="3">
        <v>550</v>
      </c>
      <c r="AE21" s="3">
        <v>-820</v>
      </c>
      <c r="AF21" s="3">
        <v>-362</v>
      </c>
      <c r="AG21" s="3">
        <v>0</v>
      </c>
      <c r="AH21" s="3">
        <f t="shared" si="1"/>
        <v>0</v>
      </c>
      <c r="AI21" s="3">
        <v>0</v>
      </c>
      <c r="AJ21" s="3">
        <v>0</v>
      </c>
      <c r="AK21" s="3">
        <v>0</v>
      </c>
    </row>
    <row r="22" spans="1:37">
      <c r="A22" s="83" t="s">
        <v>89</v>
      </c>
      <c r="B22" s="16"/>
      <c r="C22" s="3">
        <f t="shared" si="5"/>
        <v>0</v>
      </c>
      <c r="D22" s="3">
        <v>0</v>
      </c>
      <c r="E22" s="3">
        <f t="shared" si="2"/>
        <v>0</v>
      </c>
      <c r="F22" s="3">
        <f t="shared" si="2"/>
        <v>0</v>
      </c>
      <c r="G22" s="3">
        <f t="shared" si="2"/>
        <v>0</v>
      </c>
      <c r="H22" s="3">
        <f t="shared" si="2"/>
        <v>0</v>
      </c>
      <c r="I22" s="3">
        <f t="shared" si="2"/>
        <v>0</v>
      </c>
      <c r="J22" s="3">
        <f t="shared" si="2"/>
        <v>0</v>
      </c>
      <c r="K22" s="3">
        <f t="shared" si="2"/>
        <v>0</v>
      </c>
      <c r="L22" s="3">
        <f t="shared" si="2"/>
        <v>0</v>
      </c>
      <c r="M22" s="3">
        <f t="shared" si="2"/>
        <v>0</v>
      </c>
      <c r="N22" s="3">
        <v>0</v>
      </c>
      <c r="O22" s="3">
        <v>0</v>
      </c>
      <c r="P22" s="3">
        <v>0</v>
      </c>
      <c r="Q22" s="3">
        <v>0</v>
      </c>
      <c r="R22" s="3">
        <f t="shared" si="3"/>
        <v>0</v>
      </c>
      <c r="S22" s="3">
        <f>0-T22-U22-V22</f>
        <v>0</v>
      </c>
      <c r="T22" s="3">
        <v>0</v>
      </c>
      <c r="U22" s="3">
        <v>0</v>
      </c>
      <c r="V22" s="3">
        <v>0</v>
      </c>
      <c r="W22" s="3"/>
      <c r="X22" s="3">
        <v>0</v>
      </c>
      <c r="Y22" s="3">
        <v>0</v>
      </c>
      <c r="Z22" s="3">
        <v>0</v>
      </c>
      <c r="AA22" s="3">
        <v>0</v>
      </c>
      <c r="AB22" s="3"/>
      <c r="AC22" s="3">
        <v>0</v>
      </c>
      <c r="AD22" s="3"/>
      <c r="AE22" s="3">
        <v>0</v>
      </c>
      <c r="AF22" s="3">
        <v>0</v>
      </c>
      <c r="AG22" s="3">
        <v>23937</v>
      </c>
      <c r="AH22" s="3">
        <f t="shared" si="1"/>
        <v>23937</v>
      </c>
      <c r="AI22" s="3"/>
      <c r="AJ22" s="66"/>
      <c r="AK22" s="66"/>
    </row>
    <row r="23" spans="1:37">
      <c r="A23" s="83" t="s">
        <v>66</v>
      </c>
      <c r="B23" s="16"/>
      <c r="C23" s="3">
        <f t="shared" si="5"/>
        <v>491505</v>
      </c>
      <c r="D23" s="3">
        <v>290499</v>
      </c>
      <c r="E23" s="3">
        <v>472602</v>
      </c>
      <c r="F23" s="3">
        <f>-271596+24166</f>
        <v>-247430</v>
      </c>
      <c r="G23" s="3">
        <v>-24166</v>
      </c>
      <c r="H23" s="3">
        <f t="shared" si="2"/>
        <v>-383994</v>
      </c>
      <c r="I23" s="3">
        <v>-156764</v>
      </c>
      <c r="J23" s="3">
        <v>-219217</v>
      </c>
      <c r="K23" s="3">
        <v>151053</v>
      </c>
      <c r="L23" s="3">
        <v>-159066</v>
      </c>
      <c r="M23" s="3">
        <f t="shared" si="2"/>
        <v>-18057</v>
      </c>
      <c r="N23" s="3">
        <v>107950</v>
      </c>
      <c r="O23" s="3">
        <v>25644</v>
      </c>
      <c r="P23" s="3">
        <v>-2851</v>
      </c>
      <c r="Q23" s="3">
        <v>-148800</v>
      </c>
      <c r="R23" s="3">
        <f t="shared" si="3"/>
        <v>-28478</v>
      </c>
      <c r="S23" s="3">
        <v>10514</v>
      </c>
      <c r="T23" s="3">
        <v>115408</v>
      </c>
      <c r="U23" s="3">
        <v>-186611</v>
      </c>
      <c r="V23" s="3">
        <v>32211</v>
      </c>
      <c r="W23" s="3">
        <v>-351716</v>
      </c>
      <c r="X23" s="3">
        <v>26065</v>
      </c>
      <c r="Y23" s="3">
        <f>(-377781)-(-143036)</f>
        <v>-234745</v>
      </c>
      <c r="Z23" s="3">
        <f>(-143036)-47902</f>
        <v>-190938</v>
      </c>
      <c r="AA23" s="3">
        <v>47902</v>
      </c>
      <c r="AB23" s="3">
        <v>-45490</v>
      </c>
      <c r="AC23" s="3">
        <v>156318</v>
      </c>
      <c r="AD23" s="3">
        <v>-212929</v>
      </c>
      <c r="AE23" s="3">
        <v>-11410</v>
      </c>
      <c r="AF23" s="3">
        <v>22531</v>
      </c>
      <c r="AG23" s="3">
        <v>41691</v>
      </c>
      <c r="AH23" s="3">
        <f t="shared" si="1"/>
        <v>-28377</v>
      </c>
      <c r="AI23" s="3">
        <v>-342221</v>
      </c>
      <c r="AJ23" s="66">
        <v>145365</v>
      </c>
      <c r="AK23" s="66">
        <v>266924</v>
      </c>
    </row>
    <row r="24" spans="1:37" ht="16.5">
      <c r="A24" s="84" t="s">
        <v>67</v>
      </c>
      <c r="B24" s="68"/>
      <c r="C24" s="65">
        <f t="shared" ref="C24" si="6">SUM(C4:C23)</f>
        <v>-362980</v>
      </c>
      <c r="D24" s="65">
        <f t="shared" ref="D24:E24" si="7">SUM(D4:D23)</f>
        <v>-48516</v>
      </c>
      <c r="E24" s="65">
        <f t="shared" si="7"/>
        <v>196228</v>
      </c>
      <c r="F24" s="65">
        <f t="shared" ref="F24:G24" si="8">SUM(F4:F23)</f>
        <v>-326932</v>
      </c>
      <c r="G24" s="65">
        <f t="shared" si="8"/>
        <v>-183760</v>
      </c>
      <c r="H24" s="65">
        <f t="shared" ref="H24:AK24" si="9">SUM(H4:H23)</f>
        <v>-808816</v>
      </c>
      <c r="I24" s="65">
        <f t="shared" si="9"/>
        <v>-305163</v>
      </c>
      <c r="J24" s="92">
        <f t="shared" si="9"/>
        <v>-309436</v>
      </c>
      <c r="K24" s="65">
        <f t="shared" si="9"/>
        <v>70804</v>
      </c>
      <c r="L24" s="65">
        <f t="shared" si="9"/>
        <v>-265021</v>
      </c>
      <c r="M24" s="65">
        <f t="shared" si="9"/>
        <v>-148495</v>
      </c>
      <c r="N24" s="65">
        <f t="shared" si="9"/>
        <v>75405</v>
      </c>
      <c r="O24" s="65">
        <f t="shared" si="9"/>
        <v>-38665</v>
      </c>
      <c r="P24" s="65">
        <f t="shared" si="9"/>
        <v>-50550</v>
      </c>
      <c r="Q24" s="65">
        <f t="shared" si="9"/>
        <v>-134685</v>
      </c>
      <c r="R24" s="65">
        <f t="shared" si="9"/>
        <v>81934</v>
      </c>
      <c r="S24" s="65">
        <f t="shared" si="9"/>
        <v>133769</v>
      </c>
      <c r="T24" s="65">
        <f t="shared" si="9"/>
        <v>140095</v>
      </c>
      <c r="U24" s="65">
        <f t="shared" si="9"/>
        <v>-339245</v>
      </c>
      <c r="V24" s="65">
        <f t="shared" si="9"/>
        <v>147315</v>
      </c>
      <c r="W24" s="65">
        <f t="shared" si="9"/>
        <v>183149</v>
      </c>
      <c r="X24" s="65">
        <f t="shared" si="9"/>
        <v>118229</v>
      </c>
      <c r="Y24" s="65">
        <f t="shared" si="9"/>
        <v>-19986</v>
      </c>
      <c r="Z24" s="65">
        <f t="shared" si="9"/>
        <v>-99391</v>
      </c>
      <c r="AA24" s="65">
        <f t="shared" si="9"/>
        <v>184297</v>
      </c>
      <c r="AB24" s="65">
        <f t="shared" si="9"/>
        <v>236925</v>
      </c>
      <c r="AC24" s="65">
        <f t="shared" si="9"/>
        <v>302909</v>
      </c>
      <c r="AD24" s="65">
        <f t="shared" si="9"/>
        <v>-176961</v>
      </c>
      <c r="AE24" s="65">
        <f t="shared" si="9"/>
        <v>86526</v>
      </c>
      <c r="AF24" s="65">
        <f t="shared" si="9"/>
        <v>24451</v>
      </c>
      <c r="AG24" s="65">
        <f t="shared" si="9"/>
        <v>1191999</v>
      </c>
      <c r="AH24" s="65">
        <f t="shared" si="9"/>
        <v>212953</v>
      </c>
      <c r="AI24" s="65">
        <f t="shared" si="9"/>
        <v>-78271</v>
      </c>
      <c r="AJ24" s="65">
        <f t="shared" si="9"/>
        <v>437695</v>
      </c>
      <c r="AK24" s="65">
        <f t="shared" si="9"/>
        <v>619622</v>
      </c>
    </row>
    <row r="25" spans="1:37">
      <c r="A25" s="83" t="s">
        <v>168</v>
      </c>
      <c r="B25" s="16"/>
      <c r="C25" s="3">
        <f t="shared" si="5"/>
        <v>29105</v>
      </c>
      <c r="D25" s="3">
        <f>29105-SUM(E25:G25)</f>
        <v>7100</v>
      </c>
      <c r="E25" s="3">
        <f>22005-7813-7983</f>
        <v>6209</v>
      </c>
      <c r="F25" s="3">
        <f>15796-7983</f>
        <v>7813</v>
      </c>
      <c r="G25" s="3">
        <v>7983</v>
      </c>
      <c r="H25" s="3">
        <f t="shared" si="2"/>
        <v>36694</v>
      </c>
      <c r="I25" s="3">
        <f>36694-J25-K25-L25</f>
        <v>11945</v>
      </c>
      <c r="J25" s="3">
        <f>24749-18189</f>
        <v>6560</v>
      </c>
      <c r="K25" s="3">
        <f>18189-11029</f>
        <v>7160</v>
      </c>
      <c r="L25" s="3">
        <v>11029</v>
      </c>
      <c r="M25" s="3">
        <f t="shared" si="2"/>
        <v>46902</v>
      </c>
      <c r="N25" s="3">
        <f>46902-O25-P25-Q25</f>
        <v>12813</v>
      </c>
      <c r="O25" s="3">
        <f>34089-8703-16447</f>
        <v>8939</v>
      </c>
      <c r="P25" s="3">
        <f>25150-16447</f>
        <v>8703</v>
      </c>
      <c r="Q25" s="3">
        <v>16447</v>
      </c>
      <c r="R25" s="3">
        <f t="shared" si="3"/>
        <v>55817</v>
      </c>
      <c r="S25" s="3">
        <f>55817-T25-U25-V25</f>
        <v>11277</v>
      </c>
      <c r="T25" s="3">
        <f>44540-12196-18057</f>
        <v>14287</v>
      </c>
      <c r="U25" s="3">
        <f>30253-18057</f>
        <v>12196</v>
      </c>
      <c r="V25" s="3">
        <v>18057</v>
      </c>
      <c r="W25" s="3">
        <v>63441</v>
      </c>
      <c r="X25" s="3">
        <f>63441-45210</f>
        <v>18231</v>
      </c>
      <c r="Y25" s="3">
        <f>45210-31269</f>
        <v>13941</v>
      </c>
      <c r="Z25" s="3">
        <f>31269-17789</f>
        <v>13480</v>
      </c>
      <c r="AA25" s="3">
        <v>17789</v>
      </c>
      <c r="AB25" s="91">
        <f>53708</f>
        <v>53708</v>
      </c>
      <c r="AC25" s="3">
        <f t="shared" si="0"/>
        <v>16425</v>
      </c>
      <c r="AD25" s="3">
        <v>15257</v>
      </c>
      <c r="AE25" s="3">
        <v>11571</v>
      </c>
      <c r="AF25" s="3">
        <v>10455</v>
      </c>
      <c r="AG25" s="3">
        <f>41699+124</f>
        <v>41823</v>
      </c>
      <c r="AH25" s="3">
        <f t="shared" si="1"/>
        <v>13371</v>
      </c>
      <c r="AI25" s="3">
        <v>8669</v>
      </c>
      <c r="AJ25" s="3">
        <v>8790</v>
      </c>
      <c r="AK25" s="3">
        <v>10993</v>
      </c>
    </row>
    <row r="26" spans="1:37">
      <c r="A26" s="83" t="s">
        <v>106</v>
      </c>
      <c r="B26" s="16"/>
      <c r="C26" s="3">
        <f t="shared" si="5"/>
        <v>1052</v>
      </c>
      <c r="D26" s="3">
        <f>1052-SUM(E26:G26)</f>
        <v>150</v>
      </c>
      <c r="E26" s="3">
        <f>902-332-333</f>
        <v>237</v>
      </c>
      <c r="F26" s="3">
        <f>665-333</f>
        <v>332</v>
      </c>
      <c r="G26" s="3">
        <v>333</v>
      </c>
      <c r="H26" s="3">
        <f t="shared" si="2"/>
        <v>1809</v>
      </c>
      <c r="I26" s="3">
        <f>1809-J26-K26-L26</f>
        <v>489</v>
      </c>
      <c r="J26" s="3">
        <f>1320-627</f>
        <v>693</v>
      </c>
      <c r="K26" s="3">
        <f>627-150</f>
        <v>477</v>
      </c>
      <c r="L26" s="3">
        <v>150</v>
      </c>
      <c r="M26" s="3">
        <f t="shared" si="2"/>
        <v>25</v>
      </c>
      <c r="N26" s="3">
        <v>0</v>
      </c>
      <c r="O26" s="3">
        <v>25</v>
      </c>
      <c r="P26" s="3">
        <v>0</v>
      </c>
      <c r="Q26" s="3">
        <v>0</v>
      </c>
      <c r="R26" s="3">
        <f t="shared" si="3"/>
        <v>42</v>
      </c>
      <c r="S26" s="3">
        <f>42-T26-U26-V26</f>
        <v>0</v>
      </c>
      <c r="T26" s="3">
        <v>42</v>
      </c>
      <c r="U26" s="3">
        <v>0</v>
      </c>
      <c r="V26" s="3">
        <v>0</v>
      </c>
      <c r="W26" s="3">
        <v>50</v>
      </c>
      <c r="X26" s="3">
        <v>0</v>
      </c>
      <c r="Y26" s="3">
        <v>50</v>
      </c>
      <c r="Z26" s="3">
        <v>0</v>
      </c>
      <c r="AA26" s="3">
        <v>0</v>
      </c>
      <c r="AB26" s="91">
        <v>91</v>
      </c>
      <c r="AC26" s="3">
        <v>0</v>
      </c>
      <c r="AD26" s="91">
        <v>91</v>
      </c>
      <c r="AE26" s="3">
        <v>0</v>
      </c>
      <c r="AF26" s="3"/>
      <c r="AG26" s="3"/>
      <c r="AH26" s="3"/>
      <c r="AI26" s="3"/>
      <c r="AJ26" s="3"/>
      <c r="AK26" s="3"/>
    </row>
    <row r="27" spans="1:37">
      <c r="A27" s="83" t="s">
        <v>47</v>
      </c>
      <c r="B27" s="16"/>
      <c r="C27" s="3">
        <f t="shared" si="5"/>
        <v>-238</v>
      </c>
      <c r="D27" s="3">
        <f>-238-SUM(E27:G27)</f>
        <v>-3</v>
      </c>
      <c r="E27" s="3">
        <f>-235+68+10</f>
        <v>-157</v>
      </c>
      <c r="F27" s="3">
        <f>-78+10</f>
        <v>-68</v>
      </c>
      <c r="G27" s="3">
        <v>-10</v>
      </c>
      <c r="H27" s="3">
        <f t="shared" si="2"/>
        <v>-12</v>
      </c>
      <c r="I27" s="3">
        <f>-12-J27-K27-L27</f>
        <v>-3</v>
      </c>
      <c r="J27" s="3">
        <f>-9+3+3</f>
        <v>-3</v>
      </c>
      <c r="K27" s="3">
        <v>-3</v>
      </c>
      <c r="L27" s="3">
        <v>-3</v>
      </c>
      <c r="M27" s="3">
        <f t="shared" si="2"/>
        <v>-12</v>
      </c>
      <c r="N27" s="3">
        <f>-12-O27-P27-Q27</f>
        <v>-2</v>
      </c>
      <c r="O27" s="3">
        <f>-10+4+3</f>
        <v>-3</v>
      </c>
      <c r="P27" s="3">
        <f>-7+3</f>
        <v>-4</v>
      </c>
      <c r="Q27" s="3">
        <v>-3</v>
      </c>
      <c r="R27" s="3">
        <f t="shared" si="3"/>
        <v>-95</v>
      </c>
      <c r="S27" s="3">
        <f>-95-T27-U27-V27</f>
        <v>-4</v>
      </c>
      <c r="T27" s="3">
        <f>-91+66+21</f>
        <v>-4</v>
      </c>
      <c r="U27" s="3">
        <f>-87-(-21)</f>
        <v>-66</v>
      </c>
      <c r="V27" s="3">
        <v>-21</v>
      </c>
      <c r="W27" s="3">
        <v>-42</v>
      </c>
      <c r="X27" s="3">
        <f>-42+26</f>
        <v>-16</v>
      </c>
      <c r="Y27" s="3">
        <f>(-26)-(-24)</f>
        <v>-2</v>
      </c>
      <c r="Z27" s="3">
        <f>-24-(-16)</f>
        <v>-8</v>
      </c>
      <c r="AA27" s="3">
        <v>-16</v>
      </c>
      <c r="AB27" s="3">
        <v>-80</v>
      </c>
      <c r="AC27" s="3">
        <f t="shared" si="0"/>
        <v>-16</v>
      </c>
      <c r="AD27" s="3">
        <v>-16</v>
      </c>
      <c r="AE27" s="3">
        <v>-16</v>
      </c>
      <c r="AF27" s="3">
        <v>-32</v>
      </c>
      <c r="AG27" s="3">
        <v>-244</v>
      </c>
      <c r="AH27" s="3">
        <f t="shared" si="1"/>
        <v>-29</v>
      </c>
      <c r="AI27" s="3">
        <v>-35</v>
      </c>
      <c r="AJ27" s="3">
        <v>-118</v>
      </c>
      <c r="AK27" s="3">
        <v>-62</v>
      </c>
    </row>
    <row r="28" spans="1:37">
      <c r="A28" s="85" t="s">
        <v>48</v>
      </c>
      <c r="B28" s="16"/>
      <c r="C28" s="3">
        <f t="shared" si="5"/>
        <v>-6700</v>
      </c>
      <c r="D28" s="3">
        <f>-6700-SUM(E28:G28)</f>
        <v>-1046</v>
      </c>
      <c r="E28" s="3">
        <f>-5654+3886+3</f>
        <v>-1765</v>
      </c>
      <c r="F28" s="3">
        <f>-3889+3</f>
        <v>-3886</v>
      </c>
      <c r="G28" s="3">
        <v>-3</v>
      </c>
      <c r="H28" s="3">
        <f t="shared" si="2"/>
        <v>-10750</v>
      </c>
      <c r="I28" s="3">
        <f>-10750-J28-K28-L28</f>
        <v>-2083</v>
      </c>
      <c r="J28" s="3">
        <f>-8667+6739</f>
        <v>-1928</v>
      </c>
      <c r="K28" s="3">
        <f>-6739+7596</f>
        <v>857</v>
      </c>
      <c r="L28" s="3">
        <v>-7596</v>
      </c>
      <c r="M28" s="3">
        <f t="shared" si="2"/>
        <v>-21531</v>
      </c>
      <c r="N28" s="3">
        <f>-21531-O28-P28-Q28</f>
        <v>3571</v>
      </c>
      <c r="O28" s="91">
        <f>-25102+5522+4705</f>
        <v>-14875</v>
      </c>
      <c r="P28" s="3">
        <f>-10227+4705</f>
        <v>-5522</v>
      </c>
      <c r="Q28" s="3">
        <v>-4705</v>
      </c>
      <c r="R28" s="3">
        <f t="shared" si="3"/>
        <v>-45292</v>
      </c>
      <c r="S28" s="3">
        <f>-45292-T28-U28-V28</f>
        <v>-8161</v>
      </c>
      <c r="T28" s="3">
        <v>-1776</v>
      </c>
      <c r="U28" s="3">
        <f>-35355-(-4083)</f>
        <v>-31272</v>
      </c>
      <c r="V28" s="3">
        <v>-4083</v>
      </c>
      <c r="W28" s="3">
        <v>-108199</v>
      </c>
      <c r="X28" s="3">
        <f>-108199+103294</f>
        <v>-4905</v>
      </c>
      <c r="Y28" s="3">
        <f>(-103294)-(-67527)</f>
        <v>-35767</v>
      </c>
      <c r="Z28" s="3">
        <f>-67527-(-1239)</f>
        <v>-66288</v>
      </c>
      <c r="AA28" s="3">
        <v>-1239</v>
      </c>
      <c r="AB28" s="3">
        <v>-149582</v>
      </c>
      <c r="AC28" s="3">
        <f t="shared" si="0"/>
        <v>-1893</v>
      </c>
      <c r="AD28" s="3">
        <v>-4591</v>
      </c>
      <c r="AE28" s="3">
        <v>-142835</v>
      </c>
      <c r="AF28" s="3">
        <v>-263</v>
      </c>
      <c r="AG28" s="3">
        <v>-129078</v>
      </c>
      <c r="AH28" s="3">
        <f t="shared" si="1"/>
        <v>-1349</v>
      </c>
      <c r="AI28" s="3">
        <v>-47963</v>
      </c>
      <c r="AJ28" s="3">
        <v>-79048</v>
      </c>
      <c r="AK28" s="3">
        <v>-718</v>
      </c>
    </row>
    <row r="29" spans="1:37" s="13" customFormat="1" ht="16.5">
      <c r="A29" s="84" t="s">
        <v>59</v>
      </c>
      <c r="B29" s="16"/>
      <c r="C29" s="65">
        <f t="shared" ref="C29:D29" si="10">SUM(C24:C28)</f>
        <v>-339761</v>
      </c>
      <c r="D29" s="65">
        <f t="shared" si="10"/>
        <v>-42315</v>
      </c>
      <c r="E29" s="65">
        <f t="shared" ref="E29:F29" si="11">SUM(E24:E28)</f>
        <v>200752</v>
      </c>
      <c r="F29" s="65">
        <f t="shared" si="11"/>
        <v>-322741</v>
      </c>
      <c r="G29" s="65">
        <f t="shared" ref="G29:H29" si="12">SUM(G24:G28)</f>
        <v>-175457</v>
      </c>
      <c r="H29" s="65">
        <f t="shared" si="12"/>
        <v>-781075</v>
      </c>
      <c r="I29" s="65">
        <f t="shared" ref="I29" si="13">SUM(I24:I28)</f>
        <v>-294815</v>
      </c>
      <c r="J29" s="65">
        <f t="shared" ref="J29:K29" si="14">SUM(J24:J28)</f>
        <v>-304114</v>
      </c>
      <c r="K29" s="65">
        <f t="shared" si="14"/>
        <v>79295</v>
      </c>
      <c r="L29" s="65">
        <f t="shared" ref="L29:M29" si="15">SUM(L24:L28)</f>
        <v>-261441</v>
      </c>
      <c r="M29" s="65">
        <f t="shared" si="15"/>
        <v>-123111</v>
      </c>
      <c r="N29" s="65">
        <f t="shared" ref="N29" si="16">SUM(N24:N28)</f>
        <v>91787</v>
      </c>
      <c r="O29" s="65">
        <f t="shared" ref="O29:P29" si="17">SUM(O24:O28)</f>
        <v>-44579</v>
      </c>
      <c r="P29" s="65">
        <f t="shared" si="17"/>
        <v>-47373</v>
      </c>
      <c r="Q29" s="65">
        <f t="shared" ref="Q29:V29" si="18">SUM(Q24:Q28)</f>
        <v>-122946</v>
      </c>
      <c r="R29" s="65">
        <f t="shared" si="18"/>
        <v>92406</v>
      </c>
      <c r="S29" s="65">
        <f t="shared" si="18"/>
        <v>136881</v>
      </c>
      <c r="T29" s="65">
        <f t="shared" si="18"/>
        <v>152644</v>
      </c>
      <c r="U29" s="65">
        <f t="shared" si="18"/>
        <v>-358387</v>
      </c>
      <c r="V29" s="65">
        <f t="shared" si="18"/>
        <v>161268</v>
      </c>
      <c r="W29" s="65">
        <f t="shared" ref="W29:AB29" si="19">SUM(W24:W28)</f>
        <v>138399</v>
      </c>
      <c r="X29" s="65">
        <f t="shared" si="19"/>
        <v>131539</v>
      </c>
      <c r="Y29" s="65">
        <f t="shared" si="19"/>
        <v>-41764</v>
      </c>
      <c r="Z29" s="65">
        <f t="shared" si="19"/>
        <v>-152207</v>
      </c>
      <c r="AA29" s="65">
        <f t="shared" si="19"/>
        <v>200831</v>
      </c>
      <c r="AB29" s="92">
        <f t="shared" si="19"/>
        <v>141062</v>
      </c>
      <c r="AC29" s="92">
        <f t="shared" si="0"/>
        <v>317425</v>
      </c>
      <c r="AD29" s="92">
        <v>-166220</v>
      </c>
      <c r="AE29" s="65">
        <f>SUM(AE24:AE28)</f>
        <v>-44754</v>
      </c>
      <c r="AF29" s="65">
        <f>SUM(AF24:AF28)</f>
        <v>34611</v>
      </c>
      <c r="AG29" s="65">
        <f>SUM(AG24:AG28)</f>
        <v>1104500</v>
      </c>
      <c r="AH29" s="65">
        <f>SUM(AH24:AH28)</f>
        <v>224946</v>
      </c>
      <c r="AI29" s="65">
        <v>-117600</v>
      </c>
      <c r="AJ29" s="65">
        <f>SUM(AJ24:AJ28)</f>
        <v>367319</v>
      </c>
      <c r="AK29" s="65">
        <f>SUM(AK24:AK28)</f>
        <v>629835</v>
      </c>
    </row>
    <row r="30" spans="1:37">
      <c r="A30" s="86"/>
      <c r="B30" s="1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14"/>
      <c r="AJ30" s="14"/>
      <c r="AK30" s="14"/>
    </row>
    <row r="31" spans="1:37" ht="16.5">
      <c r="A31" s="59" t="s">
        <v>60</v>
      </c>
      <c r="B31" s="1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14"/>
      <c r="AJ31" s="14"/>
      <c r="AK31" s="14"/>
    </row>
    <row r="32" spans="1:37">
      <c r="A32" s="58" t="s">
        <v>49</v>
      </c>
      <c r="B32" s="16"/>
      <c r="C32" s="3"/>
      <c r="D32" s="3"/>
      <c r="E32" s="3"/>
      <c r="F32" s="3"/>
      <c r="G32" s="3"/>
      <c r="H32" s="3">
        <f t="shared" ref="D32:M48" si="20">I32+J32+K32+L32</f>
        <v>0</v>
      </c>
      <c r="I32" s="3">
        <v>0</v>
      </c>
      <c r="J32" s="3">
        <v>0</v>
      </c>
      <c r="K32" s="3">
        <v>0</v>
      </c>
      <c r="L32" s="3">
        <v>0</v>
      </c>
      <c r="M32" s="3">
        <f t="shared" si="20"/>
        <v>-30000</v>
      </c>
      <c r="N32" s="3">
        <v>0</v>
      </c>
      <c r="O32" s="3">
        <v>-30000</v>
      </c>
      <c r="P32" s="3">
        <v>0</v>
      </c>
      <c r="Q32" s="3">
        <v>0</v>
      </c>
      <c r="R32" s="3">
        <f t="shared" ref="R32:R48" si="21">S32+T32+U32+V32</f>
        <v>-16771</v>
      </c>
      <c r="S32" s="3">
        <f>-16771-T32-U32-V32</f>
        <v>-4480</v>
      </c>
      <c r="T32" s="3">
        <f>-12291-63+8241</f>
        <v>-4113</v>
      </c>
      <c r="U32" s="3">
        <f>-8178-(-8241)</f>
        <v>63</v>
      </c>
      <c r="V32" s="3">
        <v>-8241</v>
      </c>
      <c r="W32" s="3">
        <v>-20083</v>
      </c>
      <c r="X32" s="3">
        <f>-20083+19728</f>
        <v>-355</v>
      </c>
      <c r="Y32" s="3">
        <f>(-19728)-(-9927)</f>
        <v>-9801</v>
      </c>
      <c r="Z32" s="3">
        <f>-9927</f>
        <v>-9927</v>
      </c>
      <c r="AA32" s="3">
        <v>0</v>
      </c>
      <c r="AB32" s="3">
        <v>-47698</v>
      </c>
      <c r="AC32" s="3">
        <f>AB32-SUM(AD32:AF32)</f>
        <v>0</v>
      </c>
      <c r="AD32" s="3">
        <v>0</v>
      </c>
      <c r="AE32" s="3">
        <v>0</v>
      </c>
      <c r="AF32" s="3">
        <v>-47698</v>
      </c>
      <c r="AG32" s="3">
        <v>-20000</v>
      </c>
      <c r="AH32" s="3">
        <f t="shared" ref="AH32:AH48" si="22">AG32-SUM(AI32:AK32)</f>
        <v>0</v>
      </c>
      <c r="AI32" s="3">
        <v>0</v>
      </c>
      <c r="AJ32" s="3">
        <v>0</v>
      </c>
      <c r="AK32" s="3">
        <v>-20000</v>
      </c>
    </row>
    <row r="33" spans="1:38">
      <c r="A33" s="58" t="s">
        <v>50</v>
      </c>
      <c r="B33" s="16"/>
      <c r="C33" s="3"/>
      <c r="D33" s="3"/>
      <c r="E33" s="3"/>
      <c r="F33" s="3"/>
      <c r="G33" s="3"/>
      <c r="H33" s="3">
        <f t="shared" si="20"/>
        <v>0</v>
      </c>
      <c r="I33" s="3">
        <v>0</v>
      </c>
      <c r="J33" s="3">
        <v>0</v>
      </c>
      <c r="K33" s="3">
        <v>0</v>
      </c>
      <c r="L33" s="3">
        <v>0</v>
      </c>
      <c r="M33" s="3">
        <f t="shared" si="20"/>
        <v>50031</v>
      </c>
      <c r="N33" s="3">
        <f>50031-O33-P33-Q33</f>
        <v>-33</v>
      </c>
      <c r="O33" s="3">
        <f>50064+29-50131</f>
        <v>-38</v>
      </c>
      <c r="P33" s="3">
        <f>50102-50131</f>
        <v>-29</v>
      </c>
      <c r="Q33" s="3">
        <v>50131</v>
      </c>
      <c r="R33" s="3">
        <f t="shared" si="21"/>
        <v>39458</v>
      </c>
      <c r="S33" s="3">
        <f>39458-T33-U33-V33</f>
        <v>76</v>
      </c>
      <c r="T33" s="3">
        <f>39382+55-7172</f>
        <v>32265</v>
      </c>
      <c r="U33" s="3">
        <f>7117-7172</f>
        <v>-55</v>
      </c>
      <c r="V33" s="3">
        <v>7172</v>
      </c>
      <c r="W33" s="3">
        <v>3485</v>
      </c>
      <c r="X33" s="3">
        <f>3485-3459</f>
        <v>26</v>
      </c>
      <c r="Y33" s="3">
        <v>3459</v>
      </c>
      <c r="Z33" s="3">
        <v>0</v>
      </c>
      <c r="AA33" s="3">
        <v>0</v>
      </c>
      <c r="AB33" s="3">
        <v>0</v>
      </c>
      <c r="AC33" s="3">
        <f t="shared" si="0"/>
        <v>0</v>
      </c>
      <c r="AD33" s="3">
        <v>0</v>
      </c>
      <c r="AE33" s="3">
        <v>0</v>
      </c>
      <c r="AF33" s="3">
        <v>0</v>
      </c>
      <c r="AG33" s="3">
        <v>20010</v>
      </c>
      <c r="AH33" s="3">
        <f t="shared" si="22"/>
        <v>0</v>
      </c>
      <c r="AI33" s="3">
        <v>0</v>
      </c>
      <c r="AJ33" s="3">
        <v>0</v>
      </c>
      <c r="AK33" s="3">
        <v>20010</v>
      </c>
    </row>
    <row r="34" spans="1:38" s="13" customFormat="1">
      <c r="A34" s="58" t="s">
        <v>51</v>
      </c>
      <c r="B34" s="16"/>
      <c r="C34" s="3"/>
      <c r="D34" s="3"/>
      <c r="E34" s="3"/>
      <c r="F34" s="3"/>
      <c r="G34" s="3"/>
      <c r="H34" s="3">
        <f t="shared" si="20"/>
        <v>0</v>
      </c>
      <c r="I34" s="3">
        <v>0</v>
      </c>
      <c r="J34" s="3">
        <v>0</v>
      </c>
      <c r="K34" s="3">
        <v>0</v>
      </c>
      <c r="L34" s="3">
        <v>0</v>
      </c>
      <c r="M34" s="3">
        <f t="shared" si="20"/>
        <v>0</v>
      </c>
      <c r="N34" s="3">
        <v>0</v>
      </c>
      <c r="O34" s="3">
        <v>0</v>
      </c>
      <c r="P34" s="3">
        <v>0</v>
      </c>
      <c r="Q34" s="3">
        <v>0</v>
      </c>
      <c r="R34" s="3">
        <f t="shared" si="21"/>
        <v>0</v>
      </c>
      <c r="S34" s="3">
        <f>0-T34-U34-V34</f>
        <v>0</v>
      </c>
      <c r="T34" s="3">
        <v>0</v>
      </c>
      <c r="U34" s="3">
        <v>0</v>
      </c>
      <c r="V34" s="3">
        <v>0</v>
      </c>
      <c r="W34" s="3">
        <v>-403134</v>
      </c>
      <c r="X34" s="3">
        <v>-79698</v>
      </c>
      <c r="Y34" s="3">
        <f>-323436-(-185419)</f>
        <v>-138017</v>
      </c>
      <c r="Z34" s="3">
        <f>-185419-(-1003136)</f>
        <v>817717</v>
      </c>
      <c r="AA34" s="3">
        <v>-1003136</v>
      </c>
      <c r="AB34" s="3">
        <v>-1439536</v>
      </c>
      <c r="AC34" s="3">
        <f t="shared" si="0"/>
        <v>-444920</v>
      </c>
      <c r="AD34" s="3">
        <v>143306</v>
      </c>
      <c r="AE34" s="3">
        <v>-1085550</v>
      </c>
      <c r="AF34" s="3">
        <v>-52372</v>
      </c>
      <c r="AG34" s="3">
        <v>-519490</v>
      </c>
      <c r="AH34" s="3">
        <f t="shared" si="22"/>
        <v>533137</v>
      </c>
      <c r="AI34" s="3">
        <v>398624</v>
      </c>
      <c r="AJ34" s="3">
        <v>-987530</v>
      </c>
      <c r="AK34" s="3">
        <v>-463721</v>
      </c>
    </row>
    <row r="35" spans="1:38" s="13" customFormat="1">
      <c r="A35" s="109" t="s">
        <v>113</v>
      </c>
      <c r="B35" s="16"/>
      <c r="C35" s="3"/>
      <c r="D35" s="3"/>
      <c r="E35" s="3"/>
      <c r="F35" s="3"/>
      <c r="G35" s="3"/>
      <c r="H35" s="3">
        <f t="shared" si="20"/>
        <v>558604</v>
      </c>
      <c r="I35" s="3">
        <f>558604-J35-K35-L35</f>
        <v>529424</v>
      </c>
      <c r="J35" s="3">
        <f>29180+82669</f>
        <v>111849</v>
      </c>
      <c r="K35" s="3">
        <f>-82669+100507</f>
        <v>17838</v>
      </c>
      <c r="L35" s="3">
        <v>-100507</v>
      </c>
      <c r="M35" s="3">
        <f t="shared" si="20"/>
        <v>692100</v>
      </c>
      <c r="N35" s="3">
        <f>692100-O35-P35-Q35</f>
        <v>365458</v>
      </c>
      <c r="O35" s="3">
        <f>326642-93395-104612</f>
        <v>128635</v>
      </c>
      <c r="P35" s="3">
        <f>198007-104612</f>
        <v>93395</v>
      </c>
      <c r="Q35" s="3">
        <v>104612</v>
      </c>
      <c r="R35" s="3">
        <f t="shared" si="21"/>
        <v>492667</v>
      </c>
      <c r="S35" s="3">
        <f>492667-T35-U35-V35</f>
        <v>-220060</v>
      </c>
      <c r="T35" s="3">
        <f>712727-218877-208271</f>
        <v>285579</v>
      </c>
      <c r="U35" s="3">
        <f>427148-208271</f>
        <v>218877</v>
      </c>
      <c r="V35" s="3">
        <v>208271</v>
      </c>
      <c r="W35" s="3"/>
      <c r="X35" s="3">
        <v>0</v>
      </c>
      <c r="Y35" s="3"/>
      <c r="Z35" s="3"/>
      <c r="AA35" s="3">
        <v>0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8" s="13" customFormat="1">
      <c r="A36" s="110" t="s">
        <v>173</v>
      </c>
      <c r="B36" s="16"/>
      <c r="C36" s="3">
        <f t="shared" ref="C36" si="23">D36+E36+F36+G36</f>
        <v>505390</v>
      </c>
      <c r="D36" s="3">
        <f>505390-SUM(E36:G36)</f>
        <v>-16938</v>
      </c>
      <c r="E36" s="3">
        <f>522328-24637-496994</f>
        <v>697</v>
      </c>
      <c r="F36" s="3">
        <f>521631-496994</f>
        <v>24637</v>
      </c>
      <c r="G36" s="3">
        <v>496994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8">
      <c r="A37" s="58" t="s">
        <v>111</v>
      </c>
      <c r="B37" s="16"/>
      <c r="C37" s="3"/>
      <c r="D37" s="3"/>
      <c r="E37" s="3"/>
      <c r="F37" s="3"/>
      <c r="G37" s="3"/>
      <c r="H37" s="3">
        <f t="shared" si="20"/>
        <v>0</v>
      </c>
      <c r="I37" s="3">
        <f t="shared" si="20"/>
        <v>0</v>
      </c>
      <c r="J37" s="3">
        <f t="shared" si="20"/>
        <v>0</v>
      </c>
      <c r="K37" s="3">
        <f t="shared" si="20"/>
        <v>0</v>
      </c>
      <c r="L37" s="3">
        <f t="shared" si="20"/>
        <v>0</v>
      </c>
      <c r="M37" s="3">
        <f t="shared" si="20"/>
        <v>0</v>
      </c>
      <c r="N37" s="3">
        <v>0</v>
      </c>
      <c r="O37" s="3">
        <v>0</v>
      </c>
      <c r="P37" s="3">
        <v>0</v>
      </c>
      <c r="Q37" s="3">
        <v>0</v>
      </c>
      <c r="R37" s="3">
        <f t="shared" si="21"/>
        <v>0</v>
      </c>
      <c r="S37" s="3">
        <f>0-T37-U37-V37</f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f t="shared" si="0"/>
        <v>0</v>
      </c>
      <c r="AD37" s="3">
        <v>0</v>
      </c>
      <c r="AE37" s="3">
        <v>0</v>
      </c>
      <c r="AF37" s="3">
        <v>0</v>
      </c>
      <c r="AG37" s="3">
        <v>-29560</v>
      </c>
      <c r="AH37" s="3">
        <f t="shared" si="22"/>
        <v>0</v>
      </c>
      <c r="AI37" s="3">
        <v>0</v>
      </c>
      <c r="AJ37" s="3">
        <v>-29560</v>
      </c>
      <c r="AK37" s="12">
        <v>0</v>
      </c>
    </row>
    <row r="38" spans="1:38">
      <c r="A38" s="58" t="s">
        <v>110</v>
      </c>
      <c r="B38" s="16"/>
      <c r="C38" s="3"/>
      <c r="D38" s="3"/>
      <c r="E38" s="3"/>
      <c r="F38" s="3"/>
      <c r="G38" s="3"/>
      <c r="H38" s="3">
        <f t="shared" si="20"/>
        <v>-15059</v>
      </c>
      <c r="I38" s="3">
        <f>15059-15059</f>
        <v>0</v>
      </c>
      <c r="J38" s="3">
        <f>15059-15059</f>
        <v>0</v>
      </c>
      <c r="K38" s="3">
        <v>-15059</v>
      </c>
      <c r="L38" s="3">
        <f t="shared" si="20"/>
        <v>0</v>
      </c>
      <c r="M38" s="3">
        <f t="shared" si="20"/>
        <v>0</v>
      </c>
      <c r="N38" s="3">
        <v>0</v>
      </c>
      <c r="O38" s="3">
        <v>0</v>
      </c>
      <c r="P38" s="3">
        <v>0</v>
      </c>
      <c r="Q38" s="3">
        <v>0</v>
      </c>
      <c r="R38" s="3">
        <f t="shared" si="21"/>
        <v>0</v>
      </c>
      <c r="S38" s="3">
        <f>0-T38-U38-V38</f>
        <v>0</v>
      </c>
      <c r="T38" s="3">
        <v>0</v>
      </c>
      <c r="U38" s="3">
        <v>0</v>
      </c>
      <c r="V38" s="3">
        <v>0</v>
      </c>
      <c r="W38" s="3">
        <v>-45862</v>
      </c>
      <c r="X38" s="3">
        <v>-45862</v>
      </c>
      <c r="Y38" s="3">
        <v>0</v>
      </c>
      <c r="Z38" s="3">
        <v>0</v>
      </c>
      <c r="AA38" s="3">
        <v>0</v>
      </c>
      <c r="AB38" s="3">
        <v>0</v>
      </c>
      <c r="AC38" s="3"/>
      <c r="AD38" s="3"/>
      <c r="AE38" s="3"/>
      <c r="AF38" s="3"/>
      <c r="AG38" s="3"/>
      <c r="AH38" s="3"/>
      <c r="AI38" s="3"/>
      <c r="AJ38" s="3"/>
    </row>
    <row r="39" spans="1:38">
      <c r="A39" s="109" t="s">
        <v>158</v>
      </c>
      <c r="B39" s="16"/>
      <c r="C39" s="3"/>
      <c r="D39" s="3"/>
      <c r="E39" s="3"/>
      <c r="F39" s="3"/>
      <c r="G39" s="3"/>
      <c r="H39" s="3">
        <f t="shared" si="20"/>
        <v>60448</v>
      </c>
      <c r="I39" s="3">
        <f>60448-J39-K39-L39</f>
        <v>0</v>
      </c>
      <c r="J39" s="3">
        <f>60448-45389</f>
        <v>15059</v>
      </c>
      <c r="K39" s="3">
        <f>45389-20151</f>
        <v>25238</v>
      </c>
      <c r="L39" s="3">
        <v>20151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8">
      <c r="A40" s="58" t="s">
        <v>71</v>
      </c>
      <c r="B40" s="16"/>
      <c r="C40" s="3"/>
      <c r="D40" s="3"/>
      <c r="E40" s="3"/>
      <c r="F40" s="3"/>
      <c r="G40" s="3"/>
      <c r="H40" s="3">
        <f t="shared" si="20"/>
        <v>-18259</v>
      </c>
      <c r="I40" s="3">
        <f>-18259</f>
        <v>-18259</v>
      </c>
      <c r="J40" s="3">
        <f t="shared" si="20"/>
        <v>0</v>
      </c>
      <c r="K40" s="3">
        <f t="shared" si="20"/>
        <v>0</v>
      </c>
      <c r="L40" s="3">
        <f t="shared" si="20"/>
        <v>0</v>
      </c>
      <c r="M40" s="3">
        <f t="shared" si="20"/>
        <v>0</v>
      </c>
      <c r="N40" s="3">
        <v>0</v>
      </c>
      <c r="O40" s="3">
        <v>0</v>
      </c>
      <c r="P40" s="3">
        <v>0</v>
      </c>
      <c r="Q40" s="3">
        <v>0</v>
      </c>
      <c r="R40" s="3">
        <f t="shared" si="21"/>
        <v>0</v>
      </c>
      <c r="S40" s="3">
        <f>0-T40-U40-V40</f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-10250</v>
      </c>
      <c r="AC40" s="3">
        <f t="shared" si="0"/>
        <v>-179</v>
      </c>
      <c r="AD40" s="3">
        <v>115</v>
      </c>
      <c r="AE40" s="3">
        <v>-10186</v>
      </c>
      <c r="AF40" s="3">
        <v>0</v>
      </c>
      <c r="AG40" s="3">
        <v>0</v>
      </c>
      <c r="AH40" s="3">
        <f t="shared" si="22"/>
        <v>0</v>
      </c>
      <c r="AI40" s="3">
        <v>0</v>
      </c>
      <c r="AJ40" s="12">
        <v>0</v>
      </c>
      <c r="AK40" s="12">
        <v>0</v>
      </c>
    </row>
    <row r="41" spans="1:38" hidden="1">
      <c r="A41" s="58" t="s">
        <v>87</v>
      </c>
      <c r="B41" s="16"/>
      <c r="C41" s="3"/>
      <c r="D41" s="3"/>
      <c r="E41" s="3"/>
      <c r="F41" s="3"/>
      <c r="G41" s="3"/>
      <c r="H41" s="3">
        <f t="shared" si="20"/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v>0</v>
      </c>
      <c r="O41" s="3">
        <v>0</v>
      </c>
      <c r="P41" s="3">
        <v>0</v>
      </c>
      <c r="Q41" s="3">
        <v>0</v>
      </c>
      <c r="R41" s="3">
        <f t="shared" si="21"/>
        <v>0</v>
      </c>
      <c r="S41" s="3">
        <f>0-T41-U41-V41</f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f t="shared" si="0"/>
        <v>0</v>
      </c>
      <c r="AD41" s="3">
        <v>0</v>
      </c>
      <c r="AE41" s="3">
        <v>0</v>
      </c>
      <c r="AF41" s="3">
        <v>0</v>
      </c>
      <c r="AG41" s="3">
        <v>-507398</v>
      </c>
      <c r="AH41" s="3">
        <f t="shared" si="22"/>
        <v>-507398</v>
      </c>
      <c r="AI41" s="3"/>
    </row>
    <row r="42" spans="1:38" s="13" customFormat="1">
      <c r="A42" s="58" t="s">
        <v>52</v>
      </c>
      <c r="B42" s="16"/>
      <c r="C42" s="3">
        <f t="shared" ref="C42:C48" si="24">D42+E42+F42+G42</f>
        <v>-29277</v>
      </c>
      <c r="D42" s="3">
        <f>-29277-SUM(E42:G42)</f>
        <v>-62</v>
      </c>
      <c r="E42" s="3">
        <f>-29215+19726+8071</f>
        <v>-1418</v>
      </c>
      <c r="F42" s="3">
        <f>-27797+8071</f>
        <v>-19726</v>
      </c>
      <c r="G42" s="3">
        <v>-8071</v>
      </c>
      <c r="H42" s="3">
        <f t="shared" si="20"/>
        <v>-24110</v>
      </c>
      <c r="I42" s="3">
        <f>-24110-J42-K42-L42</f>
        <v>-3181</v>
      </c>
      <c r="J42" s="3">
        <f>-20929+11936</f>
        <v>-8993</v>
      </c>
      <c r="K42" s="3">
        <f>-11936+4328</f>
        <v>-7608</v>
      </c>
      <c r="L42" s="3">
        <v>-4328</v>
      </c>
      <c r="M42" s="3">
        <f t="shared" si="20"/>
        <v>-19764</v>
      </c>
      <c r="N42" s="3">
        <f>-19764-O42-P42-Q42</f>
        <v>-7407</v>
      </c>
      <c r="O42" s="3">
        <f>-12357+2388+4640</f>
        <v>-5329</v>
      </c>
      <c r="P42" s="3">
        <f>-7028+4640</f>
        <v>-2388</v>
      </c>
      <c r="Q42" s="3">
        <v>-4640</v>
      </c>
      <c r="R42" s="3">
        <f t="shared" si="21"/>
        <v>-41605</v>
      </c>
      <c r="S42" s="3">
        <f>-41605-T42-U42-V42</f>
        <v>-9427</v>
      </c>
      <c r="T42" s="3">
        <f>-32178+2603+6281</f>
        <v>-23294</v>
      </c>
      <c r="U42" s="3">
        <f>-8884-(-6281)</f>
        <v>-2603</v>
      </c>
      <c r="V42" s="3">
        <v>-6281</v>
      </c>
      <c r="W42" s="3">
        <v>-29339</v>
      </c>
      <c r="X42" s="3">
        <f>-29339+18675</f>
        <v>-10664</v>
      </c>
      <c r="Y42" s="3">
        <f>-18675-(-14675)</f>
        <v>-4000</v>
      </c>
      <c r="Z42" s="3">
        <f>-14675-(-10944)</f>
        <v>-3731</v>
      </c>
      <c r="AA42" s="3">
        <v>-10944</v>
      </c>
      <c r="AB42" s="3">
        <v>-46357</v>
      </c>
      <c r="AC42" s="3">
        <f t="shared" si="0"/>
        <v>-11453</v>
      </c>
      <c r="AD42" s="3">
        <v>-8525</v>
      </c>
      <c r="AE42" s="3">
        <v>-14246</v>
      </c>
      <c r="AF42" s="3">
        <v>-12133</v>
      </c>
      <c r="AG42" s="3">
        <v>-37903</v>
      </c>
      <c r="AH42" s="3">
        <f t="shared" si="22"/>
        <v>-9777</v>
      </c>
      <c r="AI42" s="3">
        <v>-6301</v>
      </c>
      <c r="AJ42" s="3">
        <v>-9010</v>
      </c>
      <c r="AK42" s="3">
        <v>-12815</v>
      </c>
    </row>
    <row r="43" spans="1:38">
      <c r="A43" s="58" t="s">
        <v>140</v>
      </c>
      <c r="B43" s="16"/>
      <c r="C43" s="3">
        <f t="shared" si="24"/>
        <v>11</v>
      </c>
      <c r="D43" s="3">
        <f>11-SUM(E43:G43)</f>
        <v>8</v>
      </c>
      <c r="E43" s="3">
        <v>3</v>
      </c>
      <c r="F43" s="3">
        <v>0</v>
      </c>
      <c r="G43" s="3">
        <v>0</v>
      </c>
      <c r="H43" s="3">
        <f t="shared" si="20"/>
        <v>351</v>
      </c>
      <c r="I43" s="3">
        <f>351-J43-K43-L43</f>
        <v>1</v>
      </c>
      <c r="J43" s="3">
        <f>350-270</f>
        <v>80</v>
      </c>
      <c r="K43" s="3">
        <f>270-17</f>
        <v>253</v>
      </c>
      <c r="L43" s="3">
        <v>17</v>
      </c>
      <c r="M43" s="3">
        <f t="shared" si="20"/>
        <v>215</v>
      </c>
      <c r="N43" s="3">
        <f>215-O43-P43-Q43</f>
        <v>-2</v>
      </c>
      <c r="O43" s="3">
        <f>217-12</f>
        <v>205</v>
      </c>
      <c r="P43" s="3">
        <v>12</v>
      </c>
      <c r="Q43" s="3">
        <v>0</v>
      </c>
      <c r="R43" s="3">
        <f t="shared" si="21"/>
        <v>44</v>
      </c>
      <c r="S43" s="3">
        <f>44-T43-U43-V43</f>
        <v>0</v>
      </c>
      <c r="T43" s="3">
        <f>44-33-10</f>
        <v>1</v>
      </c>
      <c r="U43" s="3">
        <f>43-10</f>
        <v>33</v>
      </c>
      <c r="V43" s="3">
        <v>10</v>
      </c>
      <c r="W43" s="3">
        <v>185</v>
      </c>
      <c r="X43" s="3">
        <f>185-23</f>
        <v>162</v>
      </c>
      <c r="Y43" s="3">
        <f>23-20</f>
        <v>3</v>
      </c>
      <c r="Z43" s="3">
        <f>20-20</f>
        <v>0</v>
      </c>
      <c r="AA43" s="3">
        <v>20</v>
      </c>
      <c r="AB43" s="3">
        <f>13+1703639</f>
        <v>1703652</v>
      </c>
      <c r="AC43" s="3">
        <f t="shared" si="0"/>
        <v>0</v>
      </c>
      <c r="AD43" s="3">
        <v>0</v>
      </c>
      <c r="AE43" s="3">
        <v>1703639</v>
      </c>
      <c r="AF43" s="3">
        <v>13</v>
      </c>
      <c r="AG43" s="3">
        <v>0</v>
      </c>
      <c r="AH43" s="3">
        <f t="shared" si="22"/>
        <v>0</v>
      </c>
      <c r="AI43" s="3">
        <v>0</v>
      </c>
      <c r="AJ43" s="12">
        <v>0</v>
      </c>
      <c r="AK43" s="12">
        <v>0</v>
      </c>
    </row>
    <row r="44" spans="1:38">
      <c r="A44" s="83" t="s">
        <v>72</v>
      </c>
      <c r="B44" s="16"/>
      <c r="C44" s="3">
        <f t="shared" si="24"/>
        <v>-115</v>
      </c>
      <c r="D44" s="3">
        <f>-115-SUM(E44:G44)</f>
        <v>0</v>
      </c>
      <c r="E44" s="3">
        <f>-115</f>
        <v>-115</v>
      </c>
      <c r="F44" s="3">
        <v>0</v>
      </c>
      <c r="G44" s="3">
        <v>0</v>
      </c>
      <c r="H44" s="3">
        <f t="shared" si="20"/>
        <v>373</v>
      </c>
      <c r="I44" s="3">
        <f>373-J44-K44-L44</f>
        <v>1</v>
      </c>
      <c r="J44" s="3">
        <f>372-342</f>
        <v>30</v>
      </c>
      <c r="K44" s="3">
        <f>342-46</f>
        <v>296</v>
      </c>
      <c r="L44" s="3">
        <v>46</v>
      </c>
      <c r="M44" s="3">
        <f t="shared" si="20"/>
        <v>948</v>
      </c>
      <c r="N44" s="3">
        <f>948-O44-P44-Q44</f>
        <v>-474</v>
      </c>
      <c r="O44" s="3">
        <f>1422-189-1274</f>
        <v>-41</v>
      </c>
      <c r="P44" s="3">
        <f>1463-1274</f>
        <v>189</v>
      </c>
      <c r="Q44" s="3">
        <v>1274</v>
      </c>
      <c r="R44" s="3">
        <f t="shared" si="21"/>
        <v>-407</v>
      </c>
      <c r="S44" s="3">
        <f>-407-T44-U44-V44</f>
        <v>-368</v>
      </c>
      <c r="T44" s="3">
        <f>-39+291-444</f>
        <v>-192</v>
      </c>
      <c r="U44" s="3">
        <f>153-444</f>
        <v>-291</v>
      </c>
      <c r="V44" s="3">
        <v>444</v>
      </c>
      <c r="W44" s="3">
        <v>-414</v>
      </c>
      <c r="X44" s="3">
        <f>-414-66</f>
        <v>-480</v>
      </c>
      <c r="Y44" s="3">
        <f>66-63</f>
        <v>3</v>
      </c>
      <c r="Z44" s="3">
        <f>63-(-15)</f>
        <v>78</v>
      </c>
      <c r="AA44" s="3">
        <v>-15</v>
      </c>
      <c r="AB44" s="3">
        <v>-4094</v>
      </c>
      <c r="AC44" s="3">
        <f t="shared" si="0"/>
        <v>-184</v>
      </c>
      <c r="AD44" s="3">
        <v>-95</v>
      </c>
      <c r="AE44" s="3">
        <v>-117</v>
      </c>
      <c r="AF44" s="3">
        <v>-3698</v>
      </c>
      <c r="AG44" s="3">
        <v>-1438</v>
      </c>
      <c r="AH44" s="3">
        <f t="shared" si="22"/>
        <v>-517</v>
      </c>
      <c r="AI44" s="3">
        <v>-1102</v>
      </c>
      <c r="AJ44" s="3">
        <v>140</v>
      </c>
      <c r="AK44" s="3">
        <v>41</v>
      </c>
    </row>
    <row r="45" spans="1:38">
      <c r="A45" s="83" t="s">
        <v>53</v>
      </c>
      <c r="B45" s="16"/>
      <c r="C45" s="3">
        <f t="shared" si="24"/>
        <v>-142470</v>
      </c>
      <c r="D45" s="3">
        <f>-142470-SUM(E45:G45)</f>
        <v>-5900</v>
      </c>
      <c r="E45" s="3">
        <f>-136570+9980+104072</f>
        <v>-22518</v>
      </c>
      <c r="F45" s="3">
        <f>-114052+104072</f>
        <v>-9980</v>
      </c>
      <c r="G45" s="3">
        <v>-104072</v>
      </c>
      <c r="H45" s="3">
        <f t="shared" si="20"/>
        <v>-89049</v>
      </c>
      <c r="I45" s="3">
        <f>-89049-J45-K45-L45</f>
        <v>-8607</v>
      </c>
      <c r="J45" s="3">
        <f>-80442+47814</f>
        <v>-32628</v>
      </c>
      <c r="K45" s="3">
        <f>-47814+6528</f>
        <v>-41286</v>
      </c>
      <c r="L45" s="3">
        <v>-6528</v>
      </c>
      <c r="M45" s="3">
        <f t="shared" si="20"/>
        <v>-116011</v>
      </c>
      <c r="N45" s="3">
        <f>-116011-O45-P45-Q45</f>
        <v>-41301</v>
      </c>
      <c r="O45" s="3">
        <f>-74710+1792+40184</f>
        <v>-32734</v>
      </c>
      <c r="P45" s="3">
        <f>-41976+40184</f>
        <v>-1792</v>
      </c>
      <c r="Q45" s="3">
        <v>-40184</v>
      </c>
      <c r="R45" s="3">
        <f t="shared" si="21"/>
        <v>-30697</v>
      </c>
      <c r="S45" s="3">
        <f>-30697-T45-U45-V45</f>
        <v>-6804</v>
      </c>
      <c r="T45" s="3">
        <f>-23893+829+35303</f>
        <v>12239</v>
      </c>
      <c r="U45" s="3">
        <f>-36132-(-35303)</f>
        <v>-829</v>
      </c>
      <c r="V45" s="3">
        <v>-35303</v>
      </c>
      <c r="W45" s="3">
        <v>-124719</v>
      </c>
      <c r="X45" s="3">
        <f>-124719+16190</f>
        <v>-108529</v>
      </c>
      <c r="Y45" s="3">
        <f>-16190-(-10376)</f>
        <v>-5814</v>
      </c>
      <c r="Z45" s="3">
        <f>-10376-(-3302)</f>
        <v>-7074</v>
      </c>
      <c r="AA45" s="3">
        <v>-3302</v>
      </c>
      <c r="AB45" s="3">
        <v>-98143</v>
      </c>
      <c r="AC45" s="3">
        <f t="shared" si="0"/>
        <v>-40237</v>
      </c>
      <c r="AD45" s="3">
        <v>-9791</v>
      </c>
      <c r="AE45" s="3">
        <v>-33319</v>
      </c>
      <c r="AF45" s="3">
        <v>-14796</v>
      </c>
      <c r="AG45" s="3">
        <v>-64537</v>
      </c>
      <c r="AH45" s="3">
        <f t="shared" si="22"/>
        <v>-17745</v>
      </c>
      <c r="AI45" s="3">
        <v>-17514</v>
      </c>
      <c r="AJ45" s="3">
        <v>-11404</v>
      </c>
      <c r="AK45" s="3">
        <v>-17874</v>
      </c>
    </row>
    <row r="46" spans="1:38">
      <c r="A46" s="104" t="s">
        <v>127</v>
      </c>
      <c r="B46" s="16"/>
      <c r="C46" s="3">
        <f t="shared" si="24"/>
        <v>0</v>
      </c>
      <c r="D46" s="3">
        <f t="shared" si="20"/>
        <v>0</v>
      </c>
      <c r="E46" s="3">
        <f t="shared" si="20"/>
        <v>0</v>
      </c>
      <c r="F46" s="3">
        <f t="shared" si="20"/>
        <v>0</v>
      </c>
      <c r="G46" s="3">
        <f t="shared" si="20"/>
        <v>0</v>
      </c>
      <c r="H46" s="3">
        <f t="shared" si="20"/>
        <v>0</v>
      </c>
      <c r="I46" s="3">
        <f t="shared" si="20"/>
        <v>0</v>
      </c>
      <c r="J46" s="3">
        <f t="shared" si="20"/>
        <v>0</v>
      </c>
      <c r="K46" s="3">
        <f t="shared" si="20"/>
        <v>0</v>
      </c>
      <c r="L46" s="3">
        <f t="shared" si="20"/>
        <v>0</v>
      </c>
      <c r="M46" s="3">
        <f t="shared" si="20"/>
        <v>0</v>
      </c>
      <c r="N46" s="3">
        <v>0</v>
      </c>
      <c r="O46" s="3">
        <v>0</v>
      </c>
      <c r="P46" s="3">
        <v>0</v>
      </c>
      <c r="Q46" s="3">
        <v>0</v>
      </c>
      <c r="R46" s="3">
        <f t="shared" si="21"/>
        <v>507</v>
      </c>
      <c r="S46" s="3">
        <f>507-T46-U46-V46</f>
        <v>0</v>
      </c>
      <c r="T46" s="3">
        <f>507-507</f>
        <v>0</v>
      </c>
      <c r="U46" s="3">
        <v>507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8">
      <c r="A47" s="104" t="s">
        <v>119</v>
      </c>
      <c r="C47" s="3">
        <f t="shared" si="24"/>
        <v>0</v>
      </c>
      <c r="D47" s="3"/>
      <c r="E47" s="3"/>
      <c r="F47" s="3"/>
      <c r="G47" s="3"/>
      <c r="H47" s="3">
        <f t="shared" si="20"/>
        <v>0</v>
      </c>
      <c r="I47" s="3">
        <v>0</v>
      </c>
      <c r="J47" s="3">
        <f>28</f>
        <v>28</v>
      </c>
      <c r="K47" s="3">
        <f>-28+2834</f>
        <v>2806</v>
      </c>
      <c r="L47" s="3">
        <v>-2834</v>
      </c>
      <c r="M47" s="3">
        <f t="shared" si="20"/>
        <v>-2861</v>
      </c>
      <c r="N47" s="3">
        <f>-2861-O47-P47-Q47</f>
        <v>-1769</v>
      </c>
      <c r="O47" s="3">
        <v>-1092</v>
      </c>
      <c r="P47" s="3">
        <v>0</v>
      </c>
      <c r="Q47" s="3">
        <v>0</v>
      </c>
      <c r="R47" s="3">
        <f t="shared" si="21"/>
        <v>633</v>
      </c>
      <c r="S47" s="3">
        <f>633-T47-U47-V47</f>
        <v>71</v>
      </c>
      <c r="T47" s="3">
        <f>562+419-632</f>
        <v>349</v>
      </c>
      <c r="U47" s="3">
        <f>213-632</f>
        <v>-419</v>
      </c>
      <c r="V47" s="3">
        <v>632</v>
      </c>
      <c r="W47" s="3">
        <v>-683</v>
      </c>
      <c r="X47" s="3">
        <f>-683</f>
        <v>-683</v>
      </c>
      <c r="Y47" s="3">
        <f>0-(-51)</f>
        <v>51</v>
      </c>
      <c r="Z47" s="3">
        <f>-51-(-51)</f>
        <v>0</v>
      </c>
      <c r="AA47" s="3">
        <v>-51</v>
      </c>
      <c r="AB47" s="3">
        <v>0</v>
      </c>
      <c r="AC47" s="3">
        <f t="shared" si="0"/>
        <v>1762</v>
      </c>
      <c r="AD47" s="3">
        <v>-1762</v>
      </c>
      <c r="AE47" s="3">
        <v>204</v>
      </c>
      <c r="AF47" s="3">
        <v>-204</v>
      </c>
      <c r="AG47" s="3">
        <v>0</v>
      </c>
      <c r="AH47" s="3">
        <f t="shared" si="22"/>
        <v>0</v>
      </c>
      <c r="AI47" s="3">
        <v>0</v>
      </c>
      <c r="AJ47" s="3">
        <v>0</v>
      </c>
      <c r="AK47" s="3">
        <v>0</v>
      </c>
    </row>
    <row r="48" spans="1:38">
      <c r="A48" s="104" t="s">
        <v>128</v>
      </c>
      <c r="B48" s="16"/>
      <c r="C48" s="3">
        <f t="shared" si="24"/>
        <v>0</v>
      </c>
      <c r="D48" s="3">
        <f t="shared" si="20"/>
        <v>0</v>
      </c>
      <c r="E48" s="3">
        <f t="shared" si="20"/>
        <v>0</v>
      </c>
      <c r="F48" s="3">
        <f t="shared" si="20"/>
        <v>0</v>
      </c>
      <c r="G48" s="3">
        <f t="shared" si="20"/>
        <v>0</v>
      </c>
      <c r="H48" s="3">
        <f t="shared" si="20"/>
        <v>0</v>
      </c>
      <c r="I48" s="3">
        <f t="shared" si="20"/>
        <v>0</v>
      </c>
      <c r="J48" s="3">
        <f t="shared" si="20"/>
        <v>0</v>
      </c>
      <c r="K48" s="3">
        <f t="shared" si="20"/>
        <v>0</v>
      </c>
      <c r="L48" s="3">
        <f t="shared" si="20"/>
        <v>0</v>
      </c>
      <c r="M48" s="3">
        <f t="shared" si="20"/>
        <v>0</v>
      </c>
      <c r="N48" s="3">
        <v>0</v>
      </c>
      <c r="O48" s="3">
        <v>0</v>
      </c>
      <c r="P48" s="3">
        <v>0</v>
      </c>
      <c r="Q48" s="3">
        <v>0</v>
      </c>
      <c r="R48" s="3">
        <f t="shared" si="21"/>
        <v>0</v>
      </c>
      <c r="S48" s="3">
        <f>0-T48-U48-V48</f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f t="shared" si="0"/>
        <v>0</v>
      </c>
      <c r="AD48" s="3">
        <v>0</v>
      </c>
      <c r="AE48" s="3">
        <v>0</v>
      </c>
      <c r="AF48" s="3">
        <v>0</v>
      </c>
      <c r="AG48" s="3">
        <v>48000</v>
      </c>
      <c r="AH48" s="3">
        <f t="shared" si="22"/>
        <v>12000</v>
      </c>
      <c r="AI48" s="3">
        <v>12000</v>
      </c>
      <c r="AJ48" s="3">
        <v>12000</v>
      </c>
      <c r="AK48" s="3">
        <v>12000</v>
      </c>
      <c r="AL48" s="18"/>
    </row>
    <row r="49" spans="1:38" ht="16.5">
      <c r="A49" s="59" t="s">
        <v>54</v>
      </c>
      <c r="B49" s="27"/>
      <c r="C49" s="65">
        <f t="shared" ref="C49:D49" si="25">SUM(C32:C48)</f>
        <v>333539</v>
      </c>
      <c r="D49" s="65">
        <f t="shared" si="25"/>
        <v>-22892</v>
      </c>
      <c r="E49" s="65">
        <f t="shared" ref="E49:F49" si="26">SUM(E32:E48)</f>
        <v>-23351</v>
      </c>
      <c r="F49" s="65">
        <f t="shared" si="26"/>
        <v>-5069</v>
      </c>
      <c r="G49" s="65">
        <f t="shared" ref="G49:H49" si="27">SUM(G32:G48)</f>
        <v>384851</v>
      </c>
      <c r="H49" s="65">
        <f t="shared" si="27"/>
        <v>473299</v>
      </c>
      <c r="I49" s="65">
        <f t="shared" ref="I49" si="28">SUM(I32:I48)</f>
        <v>499379</v>
      </c>
      <c r="J49" s="65">
        <f t="shared" ref="J49:K49" si="29">SUM(J32:J48)</f>
        <v>85425</v>
      </c>
      <c r="K49" s="65">
        <f t="shared" si="29"/>
        <v>-17522</v>
      </c>
      <c r="L49" s="65">
        <f t="shared" ref="L49:M49" si="30">SUM(L32:L48)</f>
        <v>-93983</v>
      </c>
      <c r="M49" s="65">
        <f t="shared" si="30"/>
        <v>574658</v>
      </c>
      <c r="N49" s="65">
        <f t="shared" ref="N49" si="31">SUM(N32:N48)</f>
        <v>314472</v>
      </c>
      <c r="O49" s="65">
        <f t="shared" ref="O49:P49" si="32">SUM(O32:O48)</f>
        <v>59606</v>
      </c>
      <c r="P49" s="65">
        <f t="shared" si="32"/>
        <v>89387</v>
      </c>
      <c r="Q49" s="65">
        <f t="shared" ref="Q49:V49" si="33">SUM(Q32:Q48)</f>
        <v>111193</v>
      </c>
      <c r="R49" s="65">
        <f t="shared" si="33"/>
        <v>443829</v>
      </c>
      <c r="S49" s="65">
        <f t="shared" si="33"/>
        <v>-240992</v>
      </c>
      <c r="T49" s="65">
        <f t="shared" si="33"/>
        <v>302834</v>
      </c>
      <c r="U49" s="65">
        <f t="shared" si="33"/>
        <v>215283</v>
      </c>
      <c r="V49" s="65">
        <f t="shared" si="33"/>
        <v>166704</v>
      </c>
      <c r="W49" s="65">
        <f t="shared" ref="W49:AB49" si="34">SUM(W32:W48)</f>
        <v>-620564</v>
      </c>
      <c r="X49" s="65">
        <f t="shared" si="34"/>
        <v>-246083</v>
      </c>
      <c r="Y49" s="65">
        <f t="shared" si="34"/>
        <v>-154116</v>
      </c>
      <c r="Z49" s="65">
        <f t="shared" si="34"/>
        <v>797063</v>
      </c>
      <c r="AA49" s="65">
        <f t="shared" si="34"/>
        <v>-1017428</v>
      </c>
      <c r="AB49" s="65">
        <f t="shared" si="34"/>
        <v>57574</v>
      </c>
      <c r="AC49" s="65">
        <f t="shared" si="0"/>
        <v>-495211</v>
      </c>
      <c r="AD49" s="65">
        <f t="shared" ref="AD49:AK49" si="35">SUM(AD32:AD48)</f>
        <v>123248</v>
      </c>
      <c r="AE49" s="65">
        <f t="shared" si="35"/>
        <v>560425</v>
      </c>
      <c r="AF49" s="65">
        <f t="shared" si="35"/>
        <v>-130888</v>
      </c>
      <c r="AG49" s="65">
        <f t="shared" si="35"/>
        <v>-1112316</v>
      </c>
      <c r="AH49" s="65">
        <f t="shared" si="35"/>
        <v>9700</v>
      </c>
      <c r="AI49" s="65">
        <f t="shared" si="35"/>
        <v>385707</v>
      </c>
      <c r="AJ49" s="65">
        <f t="shared" si="35"/>
        <v>-1025364</v>
      </c>
      <c r="AK49" s="65">
        <f t="shared" si="35"/>
        <v>-482359</v>
      </c>
      <c r="AL49" s="18"/>
    </row>
    <row r="50" spans="1:38" ht="16.5">
      <c r="A50" s="59"/>
      <c r="B50" s="27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L50" s="18"/>
    </row>
    <row r="51" spans="1:38" ht="16.5">
      <c r="A51" s="59" t="s">
        <v>61</v>
      </c>
      <c r="B51" s="27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18"/>
    </row>
    <row r="52" spans="1:38">
      <c r="A52" s="58" t="s">
        <v>73</v>
      </c>
      <c r="B52" s="27"/>
      <c r="C52" s="3">
        <f t="shared" ref="C52" si="36">D52+E52+F52+G52</f>
        <v>12</v>
      </c>
      <c r="D52" s="3">
        <f>12-SUM(E52:G52)</f>
        <v>6</v>
      </c>
      <c r="E52" s="3">
        <v>6</v>
      </c>
      <c r="F52" s="3">
        <f t="shared" ref="C52:M55" si="37">G52+H52+I52+J52</f>
        <v>0</v>
      </c>
      <c r="G52" s="3">
        <f t="shared" si="37"/>
        <v>0</v>
      </c>
      <c r="H52" s="3">
        <f t="shared" si="37"/>
        <v>0</v>
      </c>
      <c r="I52" s="3">
        <f t="shared" si="37"/>
        <v>0</v>
      </c>
      <c r="J52" s="3">
        <f t="shared" si="37"/>
        <v>0</v>
      </c>
      <c r="K52" s="3">
        <f t="shared" si="37"/>
        <v>0</v>
      </c>
      <c r="L52" s="3">
        <f t="shared" si="37"/>
        <v>0</v>
      </c>
      <c r="M52" s="3">
        <f t="shared" si="37"/>
        <v>0</v>
      </c>
      <c r="N52" s="3">
        <v>0</v>
      </c>
      <c r="O52" s="3">
        <v>0</v>
      </c>
      <c r="P52" s="3">
        <v>0</v>
      </c>
      <c r="Q52" s="3">
        <v>0</v>
      </c>
      <c r="R52" s="3">
        <f t="shared" ref="R52:R53" si="38">S52+T52+U52+V52</f>
        <v>0</v>
      </c>
      <c r="S52" s="3">
        <f>0-T52-U52-V52</f>
        <v>0</v>
      </c>
      <c r="T52" s="3">
        <v>0</v>
      </c>
      <c r="U52" s="3">
        <v>0</v>
      </c>
      <c r="V52" s="3">
        <v>0</v>
      </c>
      <c r="W52" s="3">
        <v>1126</v>
      </c>
      <c r="X52" s="3">
        <v>1126</v>
      </c>
      <c r="Y52" s="3">
        <v>0</v>
      </c>
      <c r="Z52" s="3">
        <v>0</v>
      </c>
      <c r="AA52" s="3">
        <v>0</v>
      </c>
      <c r="AB52" s="3">
        <v>-6731</v>
      </c>
      <c r="AC52" s="3">
        <f t="shared" si="0"/>
        <v>0</v>
      </c>
      <c r="AD52" s="3">
        <v>0</v>
      </c>
      <c r="AE52" s="3">
        <v>-6731</v>
      </c>
      <c r="AF52" s="3">
        <v>0</v>
      </c>
      <c r="AG52" s="3">
        <v>-77</v>
      </c>
      <c r="AH52" s="3">
        <f>AG52-SUM(AI52:AK52)</f>
        <v>-1024</v>
      </c>
      <c r="AI52" s="3">
        <v>0</v>
      </c>
      <c r="AJ52" s="3">
        <v>947</v>
      </c>
      <c r="AK52" s="3">
        <v>0</v>
      </c>
      <c r="AL52" s="18"/>
    </row>
    <row r="53" spans="1:38">
      <c r="A53" s="58" t="s">
        <v>77</v>
      </c>
      <c r="B53" s="27"/>
      <c r="C53" s="3">
        <f t="shared" si="37"/>
        <v>0</v>
      </c>
      <c r="D53" s="3">
        <f t="shared" si="37"/>
        <v>0</v>
      </c>
      <c r="E53" s="3">
        <f t="shared" si="37"/>
        <v>0</v>
      </c>
      <c r="F53" s="3">
        <f t="shared" si="37"/>
        <v>0</v>
      </c>
      <c r="G53" s="3">
        <f t="shared" si="37"/>
        <v>0</v>
      </c>
      <c r="H53" s="3">
        <f t="shared" si="37"/>
        <v>0</v>
      </c>
      <c r="I53" s="3">
        <f t="shared" si="37"/>
        <v>0</v>
      </c>
      <c r="J53" s="3">
        <f t="shared" si="37"/>
        <v>0</v>
      </c>
      <c r="K53" s="3">
        <f t="shared" si="37"/>
        <v>0</v>
      </c>
      <c r="L53" s="3">
        <f t="shared" si="37"/>
        <v>0</v>
      </c>
      <c r="M53" s="3">
        <f t="shared" si="37"/>
        <v>0</v>
      </c>
      <c r="N53" s="3">
        <v>0</v>
      </c>
      <c r="O53" s="3">
        <v>0</v>
      </c>
      <c r="P53" s="3">
        <v>0</v>
      </c>
      <c r="Q53" s="3">
        <v>0</v>
      </c>
      <c r="R53" s="3">
        <f t="shared" si="38"/>
        <v>-239526</v>
      </c>
      <c r="S53" s="3">
        <f>-239526-T53-U53-V53</f>
        <v>0</v>
      </c>
      <c r="T53" s="3">
        <v>-239526</v>
      </c>
      <c r="U53" s="3">
        <v>0</v>
      </c>
      <c r="V53" s="3">
        <v>0</v>
      </c>
      <c r="W53" s="3">
        <v>-688910</v>
      </c>
      <c r="X53" s="3">
        <f>-688910+688910</f>
        <v>0</v>
      </c>
      <c r="Y53" s="3">
        <v>-688910</v>
      </c>
      <c r="Z53" s="3">
        <v>0</v>
      </c>
      <c r="AA53" s="3">
        <v>0</v>
      </c>
      <c r="AB53" s="3">
        <v>-595053</v>
      </c>
      <c r="AC53" s="3">
        <f t="shared" si="0"/>
        <v>0</v>
      </c>
      <c r="AD53" s="3">
        <v>-595053</v>
      </c>
      <c r="AE53" s="3">
        <v>0</v>
      </c>
      <c r="AF53" s="3">
        <v>0</v>
      </c>
      <c r="AG53" s="3">
        <v>-520696</v>
      </c>
      <c r="AH53" s="3">
        <f>AG53-SUM(AI53:AK53)</f>
        <v>0</v>
      </c>
      <c r="AI53" s="3">
        <v>-520696</v>
      </c>
      <c r="AJ53" s="75"/>
      <c r="AK53" s="75"/>
      <c r="AL53" s="18"/>
    </row>
    <row r="54" spans="1:38">
      <c r="A54" s="58" t="s">
        <v>126</v>
      </c>
      <c r="B54" s="27"/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f t="shared" si="37"/>
        <v>-46950</v>
      </c>
      <c r="I54" s="3">
        <f>-46950-J54-K54-L54</f>
        <v>0</v>
      </c>
      <c r="J54" s="3">
        <f>46950-46950</f>
        <v>0</v>
      </c>
      <c r="K54" s="3">
        <f>-46950+2489</f>
        <v>-44461</v>
      </c>
      <c r="L54" s="3">
        <v>-2489</v>
      </c>
      <c r="M54" s="3">
        <f t="shared" si="37"/>
        <v>-53279</v>
      </c>
      <c r="N54" s="3">
        <v>0</v>
      </c>
      <c r="O54" s="3">
        <v>-53279</v>
      </c>
      <c r="P54" s="3">
        <v>0</v>
      </c>
      <c r="Q54" s="3">
        <v>0</v>
      </c>
      <c r="R54" s="3">
        <f t="shared" ref="R54" si="39">S54+T54+U54+V54</f>
        <v>-41433</v>
      </c>
      <c r="S54" s="3">
        <f>-41433-T54-U54-V54</f>
        <v>0</v>
      </c>
      <c r="T54" s="3">
        <v>-41433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75"/>
      <c r="AK54" s="75"/>
      <c r="AL54" s="18"/>
    </row>
    <row r="55" spans="1:38">
      <c r="A55" s="58" t="s">
        <v>125</v>
      </c>
      <c r="B55" s="27"/>
      <c r="C55" s="3">
        <v>13247</v>
      </c>
      <c r="D55" s="3">
        <f>13247-SUM(E55:G55)</f>
        <v>0</v>
      </c>
      <c r="E55" s="3">
        <v>13247</v>
      </c>
      <c r="F55" s="3">
        <v>0</v>
      </c>
      <c r="G55" s="3">
        <v>0</v>
      </c>
      <c r="H55" s="3">
        <f t="shared" si="37"/>
        <v>11927</v>
      </c>
      <c r="I55" s="3">
        <f>11891-J55-K55-L55+36</f>
        <v>0</v>
      </c>
      <c r="J55" s="3">
        <f>11891+36</f>
        <v>11927</v>
      </c>
      <c r="K55" s="3">
        <v>0</v>
      </c>
      <c r="L55" s="3">
        <v>0</v>
      </c>
      <c r="M55" s="3">
        <f t="shared" si="37"/>
        <v>6644</v>
      </c>
      <c r="N55" s="3">
        <v>6644</v>
      </c>
      <c r="O55" s="3">
        <v>0</v>
      </c>
      <c r="P55" s="3">
        <v>0</v>
      </c>
      <c r="Q55" s="3">
        <v>0</v>
      </c>
      <c r="R55" s="3">
        <f t="shared" ref="R55" si="40">S55+T55+U55+V55</f>
        <v>9583</v>
      </c>
      <c r="S55" s="3">
        <f>9583-T55-U55-V55</f>
        <v>9583</v>
      </c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18"/>
    </row>
    <row r="56" spans="1:38" ht="16.5">
      <c r="A56" s="59" t="s">
        <v>62</v>
      </c>
      <c r="B56" s="27"/>
      <c r="C56" s="65">
        <f t="shared" ref="C56:D56" si="41">SUM(C52:C55)</f>
        <v>13259</v>
      </c>
      <c r="D56" s="65">
        <f t="shared" si="41"/>
        <v>6</v>
      </c>
      <c r="E56" s="65">
        <f t="shared" ref="E56:F56" si="42">SUM(E52:E55)</f>
        <v>13253</v>
      </c>
      <c r="F56" s="65">
        <f t="shared" si="42"/>
        <v>0</v>
      </c>
      <c r="G56" s="65">
        <f t="shared" ref="G56:H56" si="43">SUM(G52:G55)</f>
        <v>0</v>
      </c>
      <c r="H56" s="65">
        <f t="shared" si="43"/>
        <v>-35023</v>
      </c>
      <c r="I56" s="65">
        <f t="shared" ref="I56:J56" si="44">SUM(I52:I55)</f>
        <v>0</v>
      </c>
      <c r="J56" s="65">
        <f t="shared" si="44"/>
        <v>11927</v>
      </c>
      <c r="K56" s="65">
        <f t="shared" ref="K56:L56" si="45">SUM(K52:K55)</f>
        <v>-44461</v>
      </c>
      <c r="L56" s="65">
        <f t="shared" si="45"/>
        <v>-2489</v>
      </c>
      <c r="M56" s="65">
        <f t="shared" ref="M56:S56" si="46">SUM(M52:M55)</f>
        <v>-46635</v>
      </c>
      <c r="N56" s="65">
        <f t="shared" si="46"/>
        <v>6644</v>
      </c>
      <c r="O56" s="65">
        <f t="shared" si="46"/>
        <v>-53279</v>
      </c>
      <c r="P56" s="65">
        <f t="shared" si="46"/>
        <v>0</v>
      </c>
      <c r="Q56" s="65">
        <f t="shared" si="46"/>
        <v>0</v>
      </c>
      <c r="R56" s="65">
        <f t="shared" si="46"/>
        <v>-271376</v>
      </c>
      <c r="S56" s="65">
        <f t="shared" si="46"/>
        <v>9583</v>
      </c>
      <c r="T56" s="65">
        <f>SUM(T52:T54)</f>
        <v>-280959</v>
      </c>
      <c r="U56" s="65">
        <f>SUM(U52:U53)</f>
        <v>0</v>
      </c>
      <c r="V56" s="65">
        <f>SUM(V52:V53)</f>
        <v>0</v>
      </c>
      <c r="W56" s="65">
        <f t="shared" ref="W56:AB56" si="47">SUM(W52:W53)</f>
        <v>-687784</v>
      </c>
      <c r="X56" s="65">
        <f t="shared" si="47"/>
        <v>1126</v>
      </c>
      <c r="Y56" s="65">
        <f t="shared" si="47"/>
        <v>-688910</v>
      </c>
      <c r="Z56" s="65">
        <f t="shared" si="47"/>
        <v>0</v>
      </c>
      <c r="AA56" s="65">
        <f t="shared" si="47"/>
        <v>0</v>
      </c>
      <c r="AB56" s="65">
        <f t="shared" si="47"/>
        <v>-601784</v>
      </c>
      <c r="AC56" s="65">
        <f t="shared" si="0"/>
        <v>0</v>
      </c>
      <c r="AD56" s="65">
        <v>-595053</v>
      </c>
      <c r="AE56" s="65">
        <f t="shared" ref="AE56:AK56" si="48">SUM(AE52:AE53)</f>
        <v>-6731</v>
      </c>
      <c r="AF56" s="65">
        <f t="shared" si="48"/>
        <v>0</v>
      </c>
      <c r="AG56" s="65">
        <f t="shared" si="48"/>
        <v>-520773</v>
      </c>
      <c r="AH56" s="65">
        <f t="shared" si="48"/>
        <v>-1024</v>
      </c>
      <c r="AI56" s="65">
        <f t="shared" si="48"/>
        <v>-520696</v>
      </c>
      <c r="AJ56" s="65">
        <f t="shared" si="48"/>
        <v>947</v>
      </c>
      <c r="AK56" s="65">
        <f t="shared" si="48"/>
        <v>0</v>
      </c>
      <c r="AL56" s="18"/>
    </row>
    <row r="57" spans="1:38">
      <c r="A57" s="14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L57" s="18"/>
    </row>
    <row r="58" spans="1:38" ht="16.5">
      <c r="A58" s="61" t="s">
        <v>55</v>
      </c>
      <c r="B58" s="27"/>
      <c r="C58" s="3">
        <f t="shared" ref="C58" si="49">D58+E58+F58+G58</f>
        <v>2051</v>
      </c>
      <c r="D58" s="3">
        <f>2051-SUM(E58:G58)</f>
        <v>3652</v>
      </c>
      <c r="E58" s="3">
        <f>-1601-1464+728</f>
        <v>-2337</v>
      </c>
      <c r="F58" s="3">
        <f>736+728</f>
        <v>1464</v>
      </c>
      <c r="G58" s="3">
        <v>-728</v>
      </c>
      <c r="H58" s="3">
        <f t="shared" ref="H58" si="50">I58+J58+K58+L58</f>
        <v>-4745</v>
      </c>
      <c r="I58" s="3">
        <f>-4745-J58-K58-L58</f>
        <v>1815</v>
      </c>
      <c r="J58" s="3">
        <f>-6560+6860</f>
        <v>300</v>
      </c>
      <c r="K58" s="3">
        <f>-6860+10205</f>
        <v>3345</v>
      </c>
      <c r="L58" s="3">
        <v>-10205</v>
      </c>
      <c r="M58" s="3">
        <f t="shared" ref="M58" si="51">N58+O58+P58+Q58</f>
        <v>-23798</v>
      </c>
      <c r="N58" s="3">
        <f>-23798-O58-P58-Q58</f>
        <v>-11686</v>
      </c>
      <c r="O58" s="3">
        <f>-12112+5893+599</f>
        <v>-5620</v>
      </c>
      <c r="P58" s="3">
        <f>-6492+599</f>
        <v>-5893</v>
      </c>
      <c r="Q58" s="3">
        <v>-599</v>
      </c>
      <c r="R58" s="3">
        <f t="shared" ref="R58" si="52">S58+T58+U58+V58</f>
        <v>-9571</v>
      </c>
      <c r="S58" s="3">
        <f>-9571-T58-U58-V58</f>
        <v>-6771</v>
      </c>
      <c r="T58" s="3">
        <v>7521</v>
      </c>
      <c r="U58" s="3">
        <f>-10321-(-10051)</f>
        <v>-270</v>
      </c>
      <c r="V58" s="3">
        <v>-10051</v>
      </c>
      <c r="W58" s="3">
        <v>11460</v>
      </c>
      <c r="X58" s="3">
        <v>6928</v>
      </c>
      <c r="Y58" s="3">
        <f>4532-(-4027)</f>
        <v>8559</v>
      </c>
      <c r="Z58" s="3">
        <f>-4027-(-173)</f>
        <v>-3854</v>
      </c>
      <c r="AA58" s="3">
        <v>-173</v>
      </c>
      <c r="AB58" s="3">
        <v>17075</v>
      </c>
      <c r="AC58" s="3">
        <f t="shared" si="0"/>
        <v>11973</v>
      </c>
      <c r="AD58" s="3">
        <v>-258</v>
      </c>
      <c r="AE58" s="3">
        <v>-747</v>
      </c>
      <c r="AF58" s="3">
        <v>6107</v>
      </c>
      <c r="AG58" s="3">
        <v>-29630</v>
      </c>
      <c r="AH58" s="3">
        <f>AG58-SUM(AI58:AK58)</f>
        <v>-24361</v>
      </c>
      <c r="AI58" s="3">
        <v>-154</v>
      </c>
      <c r="AJ58" s="3">
        <v>-1408</v>
      </c>
      <c r="AK58" s="3">
        <v>-3707</v>
      </c>
      <c r="AL58" s="18"/>
    </row>
    <row r="59" spans="1:38">
      <c r="A59" s="62"/>
      <c r="B59" s="2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18"/>
    </row>
    <row r="60" spans="1:38" ht="16.5">
      <c r="A60" s="61" t="s">
        <v>56</v>
      </c>
      <c r="B60" s="16"/>
      <c r="C60" s="3">
        <f t="shared" ref="C60:D60" si="53">C29+C49+C56+C58</f>
        <v>9088</v>
      </c>
      <c r="D60" s="3">
        <f t="shared" si="53"/>
        <v>-61549</v>
      </c>
      <c r="E60" s="3">
        <f t="shared" ref="E60:F60" si="54">E29+E49+E56+E58</f>
        <v>188317</v>
      </c>
      <c r="F60" s="3">
        <f t="shared" si="54"/>
        <v>-326346</v>
      </c>
      <c r="G60" s="3">
        <f t="shared" ref="G60:H60" si="55">G29+G49+G56+G58</f>
        <v>208666</v>
      </c>
      <c r="H60" s="3">
        <f t="shared" si="55"/>
        <v>-347544</v>
      </c>
      <c r="I60" s="3">
        <f>I29+I49+I56+I58</f>
        <v>206379</v>
      </c>
      <c r="J60" s="3">
        <f>J29+J49+J56+J58</f>
        <v>-206462</v>
      </c>
      <c r="K60" s="3">
        <f>K29+K49+K56+K58</f>
        <v>20657</v>
      </c>
      <c r="L60" s="3">
        <f>L29+L49+L56+L58</f>
        <v>-368118</v>
      </c>
      <c r="M60" s="3">
        <f t="shared" ref="M60" si="56">M29+M49+M56+M58</f>
        <v>381114</v>
      </c>
      <c r="N60" s="3">
        <f t="shared" ref="N60:O60" si="57">N29+N49+N56+N58</f>
        <v>401217</v>
      </c>
      <c r="O60" s="3">
        <f t="shared" si="57"/>
        <v>-43872</v>
      </c>
      <c r="P60" s="3">
        <f t="shared" ref="P60:U60" si="58">P29+P49+P56+P58</f>
        <v>36121</v>
      </c>
      <c r="Q60" s="3">
        <f t="shared" si="58"/>
        <v>-12352</v>
      </c>
      <c r="R60" s="3">
        <f t="shared" si="58"/>
        <v>255288</v>
      </c>
      <c r="S60" s="3">
        <f t="shared" si="58"/>
        <v>-101299</v>
      </c>
      <c r="T60" s="3">
        <f t="shared" si="58"/>
        <v>182040</v>
      </c>
      <c r="U60" s="3">
        <f t="shared" si="58"/>
        <v>-143374</v>
      </c>
      <c r="V60" s="3">
        <f t="shared" ref="V60:AA60" si="59">V29+V49+V56+V58</f>
        <v>317921</v>
      </c>
      <c r="W60" s="3">
        <f t="shared" si="59"/>
        <v>-1158489</v>
      </c>
      <c r="X60" s="3">
        <f t="shared" si="59"/>
        <v>-106490</v>
      </c>
      <c r="Y60" s="3">
        <f t="shared" si="59"/>
        <v>-876231</v>
      </c>
      <c r="Z60" s="3">
        <f t="shared" si="59"/>
        <v>641002</v>
      </c>
      <c r="AA60" s="3">
        <f t="shared" si="59"/>
        <v>-816770</v>
      </c>
      <c r="AB60" s="3">
        <f t="shared" ref="AB60:AG60" si="60">AB29+AB49+AB56+AB58</f>
        <v>-386073</v>
      </c>
      <c r="AC60" s="3">
        <f t="shared" si="60"/>
        <v>-165813</v>
      </c>
      <c r="AD60" s="3">
        <f t="shared" si="60"/>
        <v>-638283</v>
      </c>
      <c r="AE60" s="3">
        <f t="shared" si="60"/>
        <v>508193</v>
      </c>
      <c r="AF60" s="3">
        <f t="shared" si="60"/>
        <v>-90170</v>
      </c>
      <c r="AG60" s="3">
        <f t="shared" si="60"/>
        <v>-558219</v>
      </c>
      <c r="AH60" s="3">
        <f>AG60-SUM(AI60:AK60)</f>
        <v>209261</v>
      </c>
      <c r="AI60" s="3">
        <f>AI29+AI49+AI56+AI58</f>
        <v>-252743</v>
      </c>
      <c r="AJ60" s="3">
        <f>AJ29+AJ49+AJ56+AJ58</f>
        <v>-658506</v>
      </c>
      <c r="AK60" s="3">
        <f>AK29+AK49+AK56+AK58</f>
        <v>143769</v>
      </c>
      <c r="AL60" s="17"/>
    </row>
    <row r="61" spans="1:38">
      <c r="A61" s="63"/>
      <c r="B61" s="1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8" ht="16.5">
      <c r="A62" s="61" t="s">
        <v>57</v>
      </c>
      <c r="B62" s="16"/>
      <c r="C62" s="3">
        <f>H64</f>
        <v>707736</v>
      </c>
      <c r="D62" s="3">
        <f>E64</f>
        <v>778373</v>
      </c>
      <c r="E62" s="3">
        <f>F64</f>
        <v>590056</v>
      </c>
      <c r="F62" s="3">
        <f>G64</f>
        <v>916402</v>
      </c>
      <c r="G62" s="3">
        <f>H64</f>
        <v>707736</v>
      </c>
      <c r="H62" s="3">
        <f>M64</f>
        <v>1055280</v>
      </c>
      <c r="I62" s="3">
        <f>J64</f>
        <v>501357</v>
      </c>
      <c r="J62" s="3">
        <f>K64</f>
        <v>707819</v>
      </c>
      <c r="K62" s="3">
        <f>L64</f>
        <v>687162</v>
      </c>
      <c r="L62" s="3">
        <f>N64</f>
        <v>1055280</v>
      </c>
      <c r="M62" s="3">
        <f>R64</f>
        <v>674166</v>
      </c>
      <c r="N62" s="3">
        <f>O64</f>
        <v>654063</v>
      </c>
      <c r="O62" s="3">
        <f>P64</f>
        <v>697935</v>
      </c>
      <c r="P62" s="3">
        <f>Q64</f>
        <v>661814</v>
      </c>
      <c r="Q62" s="3">
        <f>R64</f>
        <v>674166</v>
      </c>
      <c r="R62" s="3">
        <f>W64</f>
        <v>418878</v>
      </c>
      <c r="S62" s="3">
        <f>T64</f>
        <v>775465</v>
      </c>
      <c r="T62" s="3">
        <f>U64</f>
        <v>593425</v>
      </c>
      <c r="U62" s="3">
        <f>V64</f>
        <v>736799</v>
      </c>
      <c r="V62" s="3">
        <f>W64</f>
        <v>418878</v>
      </c>
      <c r="W62" s="3">
        <f>AB64</f>
        <v>1577367</v>
      </c>
      <c r="X62" s="3">
        <f>Y64</f>
        <v>525368</v>
      </c>
      <c r="Y62" s="3">
        <f>Z64</f>
        <v>1401599</v>
      </c>
      <c r="Z62" s="3">
        <f>AA64</f>
        <v>760597</v>
      </c>
      <c r="AA62" s="3">
        <f>AB64</f>
        <v>1577367</v>
      </c>
      <c r="AB62" s="3">
        <f>AF62</f>
        <v>1963440</v>
      </c>
      <c r="AC62" s="3">
        <f>AD64</f>
        <v>1743180</v>
      </c>
      <c r="AD62" s="3">
        <f>AE64</f>
        <v>2381463</v>
      </c>
      <c r="AE62" s="3">
        <v>1873270</v>
      </c>
      <c r="AF62" s="3">
        <v>1963440</v>
      </c>
      <c r="AG62" s="3">
        <f>AK62</f>
        <v>2521659</v>
      </c>
      <c r="AH62" s="3">
        <f>AI64</f>
        <v>1754179</v>
      </c>
      <c r="AI62" s="3">
        <v>2006922</v>
      </c>
      <c r="AJ62" s="3">
        <v>2665428</v>
      </c>
      <c r="AK62" s="3">
        <v>2521659</v>
      </c>
    </row>
    <row r="63" spans="1:38">
      <c r="A63" s="64"/>
      <c r="B63" s="1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3"/>
      <c r="AD63" s="66"/>
      <c r="AE63" s="66"/>
      <c r="AF63" s="66"/>
      <c r="AG63" s="66"/>
      <c r="AH63" s="66"/>
      <c r="AI63" s="3"/>
      <c r="AJ63" s="3"/>
      <c r="AK63" s="3"/>
    </row>
    <row r="64" spans="1:38" ht="17.25" thickBot="1">
      <c r="A64" s="61" t="s">
        <v>58</v>
      </c>
      <c r="B64" s="16"/>
      <c r="C64" s="67">
        <f t="shared" ref="C64:D64" si="61">C60+C62</f>
        <v>716824</v>
      </c>
      <c r="D64" s="67">
        <f t="shared" si="61"/>
        <v>716824</v>
      </c>
      <c r="E64" s="67">
        <f t="shared" ref="E64:F64" si="62">E60+E62</f>
        <v>778373</v>
      </c>
      <c r="F64" s="67">
        <f t="shared" si="62"/>
        <v>590056</v>
      </c>
      <c r="G64" s="67">
        <f t="shared" ref="G64:H64" si="63">G60+G62</f>
        <v>916402</v>
      </c>
      <c r="H64" s="67">
        <f t="shared" si="63"/>
        <v>707736</v>
      </c>
      <c r="I64" s="67">
        <f t="shared" ref="I64" si="64">I60+I62</f>
        <v>707736</v>
      </c>
      <c r="J64" s="67">
        <f t="shared" ref="J64:K64" si="65">J60+J62</f>
        <v>501357</v>
      </c>
      <c r="K64" s="67">
        <f t="shared" si="65"/>
        <v>707819</v>
      </c>
      <c r="L64" s="67">
        <f t="shared" ref="L64:M64" si="66">L60+L62</f>
        <v>687162</v>
      </c>
      <c r="M64" s="67">
        <f t="shared" si="66"/>
        <v>1055280</v>
      </c>
      <c r="N64" s="67">
        <f t="shared" ref="N64" si="67">N60+N62</f>
        <v>1055280</v>
      </c>
      <c r="O64" s="67">
        <f t="shared" ref="O64:P64" si="68">O60+O62</f>
        <v>654063</v>
      </c>
      <c r="P64" s="67">
        <f t="shared" si="68"/>
        <v>697935</v>
      </c>
      <c r="Q64" s="67">
        <f t="shared" ref="Q64:R64" si="69">Q60+Q62</f>
        <v>661814</v>
      </c>
      <c r="R64" s="67">
        <f t="shared" si="69"/>
        <v>674166</v>
      </c>
      <c r="S64" s="67">
        <f t="shared" ref="S64:T64" si="70">S60+S62</f>
        <v>674166</v>
      </c>
      <c r="T64" s="67">
        <f t="shared" si="70"/>
        <v>775465</v>
      </c>
      <c r="U64" s="67">
        <f t="shared" ref="U64:Z64" si="71">U60+U62</f>
        <v>593425</v>
      </c>
      <c r="V64" s="67">
        <f t="shared" si="71"/>
        <v>736799</v>
      </c>
      <c r="W64" s="67">
        <f t="shared" si="71"/>
        <v>418878</v>
      </c>
      <c r="X64" s="67">
        <f t="shared" si="71"/>
        <v>418878</v>
      </c>
      <c r="Y64" s="67">
        <f t="shared" si="71"/>
        <v>525368</v>
      </c>
      <c r="Z64" s="67">
        <f t="shared" si="71"/>
        <v>1401599</v>
      </c>
      <c r="AA64" s="67">
        <f t="shared" ref="AA64:AF64" si="72">AA60+AA62</f>
        <v>760597</v>
      </c>
      <c r="AB64" s="67">
        <f t="shared" si="72"/>
        <v>1577367</v>
      </c>
      <c r="AC64" s="67">
        <f t="shared" si="72"/>
        <v>1577367</v>
      </c>
      <c r="AD64" s="67">
        <f t="shared" si="72"/>
        <v>1743180</v>
      </c>
      <c r="AE64" s="67">
        <f t="shared" si="72"/>
        <v>2381463</v>
      </c>
      <c r="AF64" s="67">
        <f t="shared" si="72"/>
        <v>1873270</v>
      </c>
      <c r="AG64" s="67">
        <f>-AG60+AG62</f>
        <v>3079878</v>
      </c>
      <c r="AH64" s="67">
        <f>AH60+AH62</f>
        <v>1963440</v>
      </c>
      <c r="AI64" s="67">
        <v>1754179</v>
      </c>
      <c r="AJ64" s="67">
        <f>AJ62+AJ60</f>
        <v>2006922</v>
      </c>
      <c r="AK64" s="67">
        <f>AK60+AK62</f>
        <v>2665428</v>
      </c>
    </row>
    <row r="65" spans="1:34" ht="16.5" thickTop="1">
      <c r="A65" s="60"/>
      <c r="B65" s="16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>
      <c r="B66" s="16"/>
    </row>
    <row r="67" spans="1:34">
      <c r="B67" s="16"/>
    </row>
  </sheetData>
  <customSheetViews>
    <customSheetView guid="{6CC4FA47-4F74-48A0-8033-8683B05A3BC4}" topLeftCell="A7">
      <selection activeCell="A17" sqref="A17"/>
      <pageMargins left="0.7" right="0.7" top="0.75" bottom="0.75" header="0.3" footer="0.3"/>
      <pageSetup paperSize="9" orientation="portrait" r:id="rId1"/>
    </customSheetView>
    <customSheetView guid="{293A8923-ED08-4701-85A2-A97D5F3D44EF}" hiddenColumns="1">
      <selection activeCell="C10" sqref="C10"/>
      <pageMargins left="0.7" right="0.7" top="0.75" bottom="0.75" header="0.3" footer="0.3"/>
      <pageSetup paperSize="9" orientation="portrait" r:id="rId2"/>
    </customSheetView>
  </customSheetViews>
  <phoneticPr fontId="1" type="noConversion"/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年度簡明合併損益表</vt:lpstr>
      <vt:lpstr>季度簡明合併損益表</vt:lpstr>
      <vt:lpstr>簡明年度合併資產負債表 </vt:lpstr>
      <vt:lpstr>簡明合併資產負債表</vt:lpstr>
      <vt:lpstr>簡明現金流量變動表</vt:lpstr>
      <vt:lpstr>季度簡明合併損益表!Print_Area</vt:lpstr>
      <vt:lpstr>簡明合併資產負債表!Print_Area</vt:lpstr>
      <vt:lpstr>'簡明年度合併資產負債表 '!Print_Area</vt:lpstr>
    </vt:vector>
  </TitlesOfParts>
  <Company>ALi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唐婕</dc:creator>
  <cp:keywords>Copyright (c) 2013 ALi Corp. All Rights Reserved</cp:keywords>
  <dc:description>/****************************************************************************************************_x000d_
*   Copyright (c) 2013 ALi Corp. All Rights Reserved_x000d_
*   This source is confidential/strictly confidential and is ALi's proprietary information._x000d_
*   This source is subject to ALi License Agreement, and shall be kept strictly confidential. _x000d_
*   Any disclosure of this source without authorization is prohibited._x000d_
 _x000d_
*   THIS CODE AND INFORMATION ARE PROVIDED "AS IS" WITHOUT WARRANTY OF ANY _x000d_
    KIND, EITHER EXPRESSED OR IMPLIED, INCLUDING BUT NOT LIMITED TO THE_x000d_
    IMPLIED WARRANTIES OF MERCHANTABILITY AND/OR FITNESS FOR A_x000d_
    PARTICULAR PURPOSE._x000d_
****************************************************************************************************/</dc:description>
  <cp:lastModifiedBy>黃惠嫆</cp:lastModifiedBy>
  <cp:lastPrinted>2019-05-06T03:26:55Z</cp:lastPrinted>
  <dcterms:created xsi:type="dcterms:W3CDTF">2011-08-30T06:17:53Z</dcterms:created>
  <dcterms:modified xsi:type="dcterms:W3CDTF">2020-03-30T08:16:26Z</dcterms:modified>
  <cp:category>Strictly Confidential</cp:category>
</cp:coreProperties>
</file>